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vkos\Desktop\SAZIVI UV\33. sjednica uv dv košutica- zapisnik\"/>
    </mc:Choice>
  </mc:AlternateContent>
  <xr:revisionPtr revIDLastSave="0" documentId="13_ncr:1_{6F492367-BBEE-40FF-895E-125B760BCA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  <sheet name="Obrazloženja" sheetId="1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4" i="1" s="1"/>
  <c r="G45" i="3"/>
  <c r="G23" i="1"/>
  <c r="G55" i="7"/>
  <c r="G53" i="7" s="1"/>
  <c r="G24" i="7"/>
  <c r="H24" i="7" s="1"/>
  <c r="H23" i="7"/>
  <c r="G19" i="7"/>
  <c r="E20" i="8"/>
  <c r="I45" i="3"/>
  <c r="I46" i="3"/>
  <c r="E10" i="8"/>
  <c r="E9" i="8" s="1"/>
  <c r="I30" i="3"/>
  <c r="I29" i="3" s="1"/>
  <c r="I18" i="3"/>
  <c r="I17" i="3" s="1"/>
  <c r="C10" i="11"/>
  <c r="C11" i="11"/>
  <c r="C10" i="8"/>
  <c r="C16" i="8"/>
  <c r="F16" i="8" s="1"/>
  <c r="C13" i="8"/>
  <c r="F13" i="8" s="1"/>
  <c r="G87" i="3"/>
  <c r="J87" i="3" s="1"/>
  <c r="G86" i="3"/>
  <c r="J86" i="3" s="1"/>
  <c r="G82" i="3"/>
  <c r="G81" i="3"/>
  <c r="G80" i="3"/>
  <c r="G76" i="3"/>
  <c r="J76" i="3" s="1"/>
  <c r="G75" i="3"/>
  <c r="J75" i="3" s="1"/>
  <c r="G74" i="3"/>
  <c r="G73" i="3"/>
  <c r="J73" i="3" s="1"/>
  <c r="G70" i="3"/>
  <c r="G69" i="3"/>
  <c r="J69" i="3" s="1"/>
  <c r="G68" i="3"/>
  <c r="G67" i="3"/>
  <c r="J67" i="3" s="1"/>
  <c r="G66" i="3"/>
  <c r="K61" i="3"/>
  <c r="K62" i="3"/>
  <c r="K64" i="3"/>
  <c r="K65" i="3"/>
  <c r="I63" i="3"/>
  <c r="H63" i="3"/>
  <c r="G65" i="3"/>
  <c r="J65" i="3" s="1"/>
  <c r="G64" i="3"/>
  <c r="G63" i="3" s="1"/>
  <c r="G61" i="3"/>
  <c r="J61" i="3" s="1"/>
  <c r="G60" i="3"/>
  <c r="J60" i="3" s="1"/>
  <c r="G59" i="3"/>
  <c r="J59" i="3" s="1"/>
  <c r="G58" i="3"/>
  <c r="J58" i="3" s="1"/>
  <c r="G57" i="3"/>
  <c r="G55" i="3"/>
  <c r="J55" i="3" s="1"/>
  <c r="G54" i="3"/>
  <c r="G53" i="3"/>
  <c r="G49" i="3"/>
  <c r="J49" i="3" s="1"/>
  <c r="G47" i="3"/>
  <c r="J47" i="3" s="1"/>
  <c r="G28" i="3"/>
  <c r="J28" i="3" s="1"/>
  <c r="G32" i="3"/>
  <c r="J32" i="3" s="1"/>
  <c r="G31" i="3"/>
  <c r="J31" i="3" s="1"/>
  <c r="G22" i="3"/>
  <c r="G21" i="3" s="1"/>
  <c r="G20" i="3" s="1"/>
  <c r="G19" i="3"/>
  <c r="J19" i="3" s="1"/>
  <c r="G16" i="3"/>
  <c r="J16" i="3" s="1"/>
  <c r="G34" i="1"/>
  <c r="G33" i="1"/>
  <c r="J33" i="1" s="1"/>
  <c r="G20" i="1"/>
  <c r="J20" i="1" s="1"/>
  <c r="E19" i="8"/>
  <c r="G11" i="11"/>
  <c r="F11" i="11"/>
  <c r="E10" i="11"/>
  <c r="G10" i="11" s="1"/>
  <c r="G13" i="8"/>
  <c r="G16" i="8"/>
  <c r="G23" i="8"/>
  <c r="G26" i="8"/>
  <c r="F23" i="8"/>
  <c r="F26" i="8"/>
  <c r="K47" i="3"/>
  <c r="K52" i="3"/>
  <c r="K53" i="3"/>
  <c r="K54" i="3"/>
  <c r="K55" i="3"/>
  <c r="K57" i="3"/>
  <c r="K58" i="3"/>
  <c r="K59" i="3"/>
  <c r="K60" i="3"/>
  <c r="K67" i="3"/>
  <c r="K68" i="3"/>
  <c r="K69" i="3"/>
  <c r="K70" i="3"/>
  <c r="K71" i="3"/>
  <c r="K73" i="3"/>
  <c r="K74" i="3"/>
  <c r="K75" i="3"/>
  <c r="K76" i="3"/>
  <c r="K77" i="3"/>
  <c r="K80" i="3"/>
  <c r="K81" i="3"/>
  <c r="K82" i="3"/>
  <c r="K86" i="3"/>
  <c r="K87" i="3"/>
  <c r="J54" i="3"/>
  <c r="J68" i="3"/>
  <c r="J70" i="3"/>
  <c r="J74" i="3"/>
  <c r="J80" i="3"/>
  <c r="J81" i="3"/>
  <c r="J82" i="3"/>
  <c r="K16" i="3"/>
  <c r="K22" i="3"/>
  <c r="K31" i="3"/>
  <c r="K33" i="1"/>
  <c r="K20" i="1"/>
  <c r="K23" i="1"/>
  <c r="K24" i="1"/>
  <c r="J23" i="1"/>
  <c r="H19" i="7"/>
  <c r="H20" i="7"/>
  <c r="H21" i="7"/>
  <c r="H22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50" i="7"/>
  <c r="H51" i="7"/>
  <c r="H52" i="7"/>
  <c r="H56" i="7"/>
  <c r="H57" i="7"/>
  <c r="G18" i="7"/>
  <c r="G17" i="7" s="1"/>
  <c r="G25" i="7"/>
  <c r="G49" i="7"/>
  <c r="G48" i="7" s="1"/>
  <c r="F49" i="7"/>
  <c r="F48" i="7" s="1"/>
  <c r="F25" i="7"/>
  <c r="F55" i="7"/>
  <c r="F53" i="7" s="1"/>
  <c r="F18" i="7"/>
  <c r="F17" i="7" s="1"/>
  <c r="D9" i="11"/>
  <c r="D8" i="11" s="1"/>
  <c r="E9" i="11"/>
  <c r="E8" i="11" s="1"/>
  <c r="D20" i="8"/>
  <c r="D19" i="8" s="1"/>
  <c r="D10" i="8"/>
  <c r="D9" i="8" s="1"/>
  <c r="E22" i="8"/>
  <c r="D22" i="8"/>
  <c r="E25" i="8"/>
  <c r="D25" i="8"/>
  <c r="E12" i="8"/>
  <c r="D12" i="8"/>
  <c r="E15" i="8"/>
  <c r="D15" i="8"/>
  <c r="I85" i="3"/>
  <c r="H85" i="3"/>
  <c r="H84" i="3" s="1"/>
  <c r="H83" i="3" s="1"/>
  <c r="I72" i="3"/>
  <c r="H72" i="3"/>
  <c r="I56" i="3"/>
  <c r="H56" i="3"/>
  <c r="I51" i="3"/>
  <c r="H51" i="3"/>
  <c r="H45" i="3"/>
  <c r="H44" i="3" s="1"/>
  <c r="H49" i="3"/>
  <c r="K49" i="3" s="1"/>
  <c r="H46" i="3"/>
  <c r="G25" i="8" l="1"/>
  <c r="G51" i="3"/>
  <c r="H17" i="7"/>
  <c r="G79" i="3"/>
  <c r="J64" i="3"/>
  <c r="J53" i="3"/>
  <c r="G56" i="3"/>
  <c r="J85" i="3"/>
  <c r="G72" i="3"/>
  <c r="G85" i="3"/>
  <c r="G84" i="3" s="1"/>
  <c r="G46" i="3"/>
  <c r="J46" i="3" s="1"/>
  <c r="K46" i="3"/>
  <c r="J45" i="3"/>
  <c r="K63" i="3"/>
  <c r="F10" i="8"/>
  <c r="G12" i="8"/>
  <c r="G15" i="8"/>
  <c r="G10" i="8"/>
  <c r="G20" i="8"/>
  <c r="G9" i="8"/>
  <c r="K51" i="3"/>
  <c r="K85" i="3"/>
  <c r="G30" i="3"/>
  <c r="H48" i="7"/>
  <c r="H53" i="7"/>
  <c r="G8" i="11"/>
  <c r="H25" i="7"/>
  <c r="G54" i="7"/>
  <c r="E18" i="8"/>
  <c r="G22" i="8"/>
  <c r="G19" i="8"/>
  <c r="K56" i="3"/>
  <c r="K72" i="3"/>
  <c r="I84" i="3"/>
  <c r="J84" i="3" s="1"/>
  <c r="K45" i="3"/>
  <c r="H55" i="7"/>
  <c r="H49" i="7"/>
  <c r="H18" i="7"/>
  <c r="F10" i="11"/>
  <c r="G9" i="11"/>
  <c r="E8" i="8"/>
  <c r="G16" i="7"/>
  <c r="F54" i="7"/>
  <c r="D8" i="8"/>
  <c r="F16" i="7"/>
  <c r="F15" i="7" s="1"/>
  <c r="D18" i="8"/>
  <c r="G50" i="3" l="1"/>
  <c r="H54" i="7"/>
  <c r="G8" i="8"/>
  <c r="G18" i="8"/>
  <c r="I83" i="3"/>
  <c r="K83" i="3" s="1"/>
  <c r="K84" i="3"/>
  <c r="G15" i="7"/>
  <c r="H15" i="7" s="1"/>
  <c r="H16" i="7"/>
  <c r="H79" i="3" l="1"/>
  <c r="H78" i="3" s="1"/>
  <c r="I79" i="3"/>
  <c r="H48" i="3"/>
  <c r="H43" i="3" s="1"/>
  <c r="I48" i="3"/>
  <c r="I44" i="3"/>
  <c r="H25" i="3"/>
  <c r="H23" i="3" s="1"/>
  <c r="I25" i="3"/>
  <c r="H30" i="3"/>
  <c r="H29" i="3" s="1"/>
  <c r="I21" i="3"/>
  <c r="H21" i="3"/>
  <c r="H20" i="3" s="1"/>
  <c r="K44" i="3" l="1"/>
  <c r="I78" i="3"/>
  <c r="K79" i="3"/>
  <c r="K48" i="3"/>
  <c r="I23" i="3"/>
  <c r="K30" i="3"/>
  <c r="I20" i="3"/>
  <c r="K21" i="3"/>
  <c r="I43" i="3"/>
  <c r="H50" i="3"/>
  <c r="H42" i="3" s="1"/>
  <c r="H41" i="3" s="1"/>
  <c r="I50" i="3"/>
  <c r="I42" i="3" l="1"/>
  <c r="K50" i="3"/>
  <c r="K43" i="3"/>
  <c r="K78" i="3"/>
  <c r="K29" i="3"/>
  <c r="K20" i="3"/>
  <c r="H15" i="3"/>
  <c r="H14" i="3" s="1"/>
  <c r="H13" i="3" s="1"/>
  <c r="I15" i="3"/>
  <c r="I22" i="1"/>
  <c r="I19" i="1"/>
  <c r="H22" i="1"/>
  <c r="H19" i="1"/>
  <c r="C9" i="11"/>
  <c r="F9" i="11" s="1"/>
  <c r="C22" i="8"/>
  <c r="F22" i="8" s="1"/>
  <c r="C25" i="8"/>
  <c r="F25" i="8" s="1"/>
  <c r="C15" i="8"/>
  <c r="F15" i="8" s="1"/>
  <c r="C12" i="8"/>
  <c r="F12" i="8" s="1"/>
  <c r="C9" i="8"/>
  <c r="F9" i="8" s="1"/>
  <c r="G78" i="3"/>
  <c r="J72" i="3"/>
  <c r="J63" i="3"/>
  <c r="J51" i="3"/>
  <c r="G48" i="3"/>
  <c r="J48" i="3" s="1"/>
  <c r="G44" i="3"/>
  <c r="G43" i="3" s="1"/>
  <c r="G15" i="3"/>
  <c r="G14" i="3" s="1"/>
  <c r="G18" i="3"/>
  <c r="G25" i="3"/>
  <c r="G27" i="3"/>
  <c r="J27" i="3" s="1"/>
  <c r="G19" i="1"/>
  <c r="G22" i="1"/>
  <c r="G25" i="1" l="1"/>
  <c r="C19" i="8"/>
  <c r="F20" i="8"/>
  <c r="G29" i="3"/>
  <c r="J29" i="3" s="1"/>
  <c r="J30" i="3"/>
  <c r="J78" i="3"/>
  <c r="J79" i="3"/>
  <c r="G17" i="3"/>
  <c r="J18" i="3"/>
  <c r="J56" i="3"/>
  <c r="J57" i="3"/>
  <c r="J43" i="3"/>
  <c r="J44" i="3"/>
  <c r="I14" i="3"/>
  <c r="I13" i="3" s="1"/>
  <c r="K15" i="3"/>
  <c r="J15" i="3"/>
  <c r="I41" i="3"/>
  <c r="K42" i="3"/>
  <c r="H25" i="1"/>
  <c r="J22" i="1"/>
  <c r="K22" i="1"/>
  <c r="J19" i="1"/>
  <c r="K19" i="1"/>
  <c r="C8" i="11"/>
  <c r="F8" i="11" s="1"/>
  <c r="I25" i="1"/>
  <c r="I34" i="1" s="1"/>
  <c r="H12" i="3"/>
  <c r="C8" i="8"/>
  <c r="F8" i="8" s="1"/>
  <c r="G23" i="3"/>
  <c r="J17" i="3" l="1"/>
  <c r="G13" i="3"/>
  <c r="G12" i="3" s="1"/>
  <c r="G42" i="3"/>
  <c r="C18" i="8"/>
  <c r="F18" i="8" s="1"/>
  <c r="F19" i="8"/>
  <c r="K41" i="3"/>
  <c r="J23" i="3"/>
  <c r="K14" i="3"/>
  <c r="J14" i="3"/>
  <c r="K25" i="1"/>
  <c r="J25" i="1"/>
  <c r="J34" i="1"/>
  <c r="I12" i="3"/>
  <c r="K13" i="3"/>
  <c r="J50" i="3" l="1"/>
  <c r="J13" i="3"/>
  <c r="G41" i="3"/>
  <c r="J41" i="3" s="1"/>
  <c r="J42" i="3"/>
  <c r="K12" i="3"/>
  <c r="J12" i="3"/>
</calcChain>
</file>

<file path=xl/sharedStrings.xml><?xml version="1.0" encoding="utf-8"?>
<sst xmlns="http://schemas.openxmlformats.org/spreadsheetml/2006/main" count="354" uniqueCount="235">
  <si>
    <t>PRIHODI UKUPNO</t>
  </si>
  <si>
    <t>RASHODI UKUPNO</t>
  </si>
  <si>
    <t>Prihodi poslovanja</t>
  </si>
  <si>
    <t>Rashodi poslovanja</t>
  </si>
  <si>
    <t>Rashodi za zaposlene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</si>
  <si>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</si>
  <si>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</si>
  <si>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</si>
  <si>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</si>
  <si>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</si>
  <si>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</si>
  <si>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</si>
  <si>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</si>
  <si>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</si>
  <si>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INDEKS</t>
  </si>
  <si>
    <t xml:space="preserve">IZVJEŠTAJ O PRIHODIMA I RASHODIMA PREMA EKONOMSKOJ KLASIFIKACIJI </t>
  </si>
  <si>
    <t>UKUPNI PRIHODI</t>
  </si>
  <si>
    <t>Prihodi od prodaje proizvoda i robe te pruženih usluga</t>
  </si>
  <si>
    <t>Plaće (Bruto)</t>
  </si>
  <si>
    <t>Plaće za redovan rad</t>
  </si>
  <si>
    <t>Naknade troškova zaposlenima</t>
  </si>
  <si>
    <t>3 Vlastiti prihodi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</si>
  <si>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</si>
  <si>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</si>
  <si>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</si>
  <si>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</si>
  <si>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</si>
  <si>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</si>
  <si>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</si>
  <si>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</si>
  <si>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</si>
  <si>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</si>
  <si>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</si>
  <si>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</si>
  <si>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</si>
  <si>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</si>
  <si>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</si>
  <si>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</si>
  <si>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</si>
  <si>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</si>
  <si>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</si>
  <si>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</si>
  <si>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</si>
  <si>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</si>
  <si>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</si>
  <si>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</si>
  <si>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</si>
  <si>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</si>
  <si>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</si>
  <si>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</si>
  <si>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</si>
  <si>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</si>
  <si>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Članak 1.</t>
  </si>
  <si>
    <t>Članak 2.</t>
  </si>
  <si>
    <t>Prihodi od imovine</t>
  </si>
  <si>
    <t>Prihodi od nefinancijske imovine</t>
  </si>
  <si>
    <t>Ostali prihodi od nefinancijske imovine</t>
  </si>
  <si>
    <t xml:space="preserve">Prihodi od prodaje proizvoda i robe te pruženih usluga, prihodi od donacija te povrati po </t>
  </si>
  <si>
    <t>protestiranim jamstvima</t>
  </si>
  <si>
    <t>Prihodi od pruženih usluga</t>
  </si>
  <si>
    <t>Donacije od pravnih i fizičkih osoba izvan općeg proračuna i povrat donacija po protestiranim jamstvima</t>
  </si>
  <si>
    <t>Tekuće donacije</t>
  </si>
  <si>
    <t>Prihodi iz nadležnog proračuna i od HZZO-a temeljem ugovornih obvaza</t>
  </si>
  <si>
    <t>Prihodi iz nadležnog proračuna za financiranje redovne djelatnosti proračunskih korisnika</t>
  </si>
  <si>
    <t>Prihodi iz nadležnog proračuna za financiranje rashoda poslovanja</t>
  </si>
  <si>
    <t xml:space="preserve">Pomoći iz inozemstva i od subjekata unutar općeg proračuna </t>
  </si>
  <si>
    <t>Pomoći proračunskim korisnicima iz proračuna koji im nije nadležan</t>
  </si>
  <si>
    <t>Tekuće pomoći iz državnog proračuna proračunskim korisnicima proračuna JLP®S</t>
  </si>
  <si>
    <t>Doprinosi na plaće</t>
  </si>
  <si>
    <t>Doprinosi za zdravstveno osiguranje</t>
  </si>
  <si>
    <t>Naknada za korištenje privatnog automobila u službene svrhe</t>
  </si>
  <si>
    <t>Naknade za prijevoz na posao</t>
  </si>
  <si>
    <t xml:space="preserve">Stručno usavršavanje 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</si>
  <si>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</si>
  <si>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</si>
  <si>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</si>
  <si>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</si>
  <si>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</si>
  <si>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</si>
  <si>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</si>
  <si>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</si>
  <si>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</si>
  <si>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</si>
  <si>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</si>
  <si>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</si>
  <si>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</si>
  <si>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Ostali nespomenuti rashodi poslovanja</t>
  </si>
  <si>
    <t>Naknade za rad Upravnog vijeća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</si>
  <si>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</si>
  <si>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</si>
  <si>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</si>
  <si>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</si>
  <si>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</si>
  <si>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</si>
  <si>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</si>
  <si>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01 Opći prihodi i primici</t>
  </si>
  <si>
    <t>03 Vlastiti prihodi</t>
  </si>
  <si>
    <t>5 Pomoći</t>
  </si>
  <si>
    <t>05 Pomoći</t>
  </si>
  <si>
    <t xml:space="preserve">09 Obrazovanje </t>
  </si>
  <si>
    <t xml:space="preserve">091 Predškolsko i osnovno obrazovanje </t>
  </si>
  <si>
    <t>Dječji vrtić Košutica Ferdinandovac</t>
  </si>
  <si>
    <t>Program 01</t>
  </si>
  <si>
    <t>Predškolski odgoj</t>
  </si>
  <si>
    <t>A002040101</t>
  </si>
  <si>
    <t>Redovan rad Dječjeg vrtića Košutica Ferdinandovac</t>
  </si>
  <si>
    <t>Glava 00204 Odgoj i obrazovanje</t>
  </si>
  <si>
    <t>00204</t>
  </si>
  <si>
    <t>Prihodi pd upravnih i administrativnih pristojbi, pristojbi po posemnim propisima i naknada</t>
  </si>
  <si>
    <t>Prihodi po posebnim propisima</t>
  </si>
  <si>
    <t>Ostali nespomenuti prihodi</t>
  </si>
  <si>
    <t xml:space="preserve">Rashodi za nabavu proizvedene dugotrajne imovine </t>
  </si>
  <si>
    <t xml:space="preserve">Rashodi za nabavu nefinancijske imovine </t>
  </si>
  <si>
    <t>Postrojenja i oprema</t>
  </si>
  <si>
    <t>Uredska oprema i namještaj</t>
  </si>
  <si>
    <t>Uređaji, strojevi i oprema za ostale namjene</t>
  </si>
  <si>
    <t>Ostali rashodi za zaposlene</t>
  </si>
  <si>
    <t>Dnevnice za službeni put u zemlji</t>
  </si>
  <si>
    <t>Službena, radna i zaštitna odjeća i obuća</t>
  </si>
  <si>
    <t xml:space="preserve">Ostale usluge </t>
  </si>
  <si>
    <t>Članarine</t>
  </si>
  <si>
    <t xml:space="preserve"> Opći prihodi i primici</t>
  </si>
  <si>
    <t>01</t>
  </si>
  <si>
    <t>0911 Predškolsko obrazovanje</t>
  </si>
  <si>
    <t>Doprinosi za obvezno zdravstveno osiguranje</t>
  </si>
  <si>
    <t>05</t>
  </si>
  <si>
    <t>04</t>
  </si>
  <si>
    <t>Pomoći</t>
  </si>
  <si>
    <t>Opći prihodi i primici</t>
  </si>
  <si>
    <t>Prihodi za posebne namjene</t>
  </si>
  <si>
    <t>4 Prihodi za posebne namjene</t>
  </si>
  <si>
    <t>04 Prihodi za posebne namjene</t>
  </si>
  <si>
    <t>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</si>
  <si>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</si>
  <si>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</si>
  <si>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</si>
  <si>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</si>
  <si>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</si>
  <si>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</si>
  <si>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</si>
  <si>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</si>
  <si>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</si>
  <si>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</si>
  <si>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</si>
  <si>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</si>
  <si>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3234</t>
  </si>
  <si>
    <t>3236</t>
  </si>
  <si>
    <t>3237</t>
  </si>
  <si>
    <t>3238</t>
  </si>
  <si>
    <t>3239</t>
  </si>
  <si>
    <t>4</t>
  </si>
  <si>
    <t>Rashodi za nabavu nefinancijske imovine</t>
  </si>
  <si>
    <t>3</t>
  </si>
  <si>
    <t>3 i 4</t>
  </si>
  <si>
    <t xml:space="preserve">Ukupno rashodi </t>
  </si>
  <si>
    <t>4=3/2*100</t>
  </si>
  <si>
    <t>5=4/2*100</t>
  </si>
  <si>
    <t>6=4/3*100</t>
  </si>
  <si>
    <t>Članak 3.</t>
  </si>
  <si>
    <t>Članak 4.</t>
  </si>
  <si>
    <t>Članak 5.</t>
  </si>
  <si>
    <t>Članak 6.</t>
  </si>
  <si>
    <t>Članak 7.</t>
  </si>
  <si>
    <t>Članak 8.</t>
  </si>
  <si>
    <t xml:space="preserve">Obrazloženje općeg dijela izvještaja o izvršenju financijskog plana </t>
  </si>
  <si>
    <t>Obrazloženje ostvarenja prihoda i rashoda, primitaka i izdataka</t>
  </si>
  <si>
    <t>Članak 9.</t>
  </si>
  <si>
    <t xml:space="preserve">koji se odnose na naknade troškova zaposlenima, rashode za materijal, energiju, usluge te ostali financijski rashodi. </t>
  </si>
  <si>
    <t>Članak 10.</t>
  </si>
  <si>
    <t xml:space="preserve">Obrazloženje posebnog dijela izvještaja o izvršenju financijskog plana </t>
  </si>
  <si>
    <t>Članak 11.</t>
  </si>
  <si>
    <t xml:space="preserve">skupina - djeca od 4. godine do polaska u školu. </t>
  </si>
  <si>
    <t>odgovorno i s poštovanjem poštujući svoja prava i prava drugoga.</t>
  </si>
  <si>
    <t>zadovoljene djetetove potrebe za čuvanjem i razvijanjem duhovne, materijalne i kulturne baštine podravskoga kraja.</t>
  </si>
  <si>
    <t xml:space="preserve">su razvijena senzibilnost za strani jezik, što utječe na cjelokupni razvoj djeteta,a posebno na govorne sposobnosti i percepciju. </t>
  </si>
  <si>
    <t> Izvještaj o zaduživanju na domaćem i stranom tržištu novca i kapitala</t>
  </si>
  <si>
    <t>Članak 12.</t>
  </si>
  <si>
    <t>Izvještaj o korištenju sredstava fondova Europske unije</t>
  </si>
  <si>
    <t>fondova Europske unije ni obveze za primljene predujmove iz fondova Europske unije.</t>
  </si>
  <si>
    <t>Izvještaj o danim zajmovima i potraživanjima po danim zajmovima</t>
  </si>
  <si>
    <t>Članak 13.</t>
  </si>
  <si>
    <t>Članak 14.</t>
  </si>
  <si>
    <t> Izvještaj o stanju potraživanja i dospjelih obveza te o stanju potencijalnih obveza po osnovi sudskih sporova</t>
  </si>
  <si>
    <t xml:space="preserve">Članak 15. </t>
  </si>
  <si>
    <t>Izvještaj o danim jamstvima i plaćanjima po protestiranim jamstvima</t>
  </si>
  <si>
    <t>Članak 16.</t>
  </si>
  <si>
    <t xml:space="preserve">III. ZAVRŠNA ODREDBA </t>
  </si>
  <si>
    <t xml:space="preserve">UPRAVNO VIJEĆE </t>
  </si>
  <si>
    <t>DJEČJEG VRTIĆA KOŠUTICA FERDINANDOVAC</t>
  </si>
  <si>
    <t>Predsjednik Upravnog vijeća:</t>
  </si>
  <si>
    <t>Miroslav Fuček</t>
  </si>
  <si>
    <t xml:space="preserve">        Preneseni višak iz prethodne godine iznosi 7.450,76 eura.</t>
  </si>
  <si>
    <t xml:space="preserve">        Dječji vrtić Košutica Ferdinandovac  nije se zaduživao na domaćem i stranom tržištu novca i kapitala.</t>
  </si>
  <si>
    <t xml:space="preserve">        Dječji vrtić Košutica Ferdinandovac nema evidentirane prihode i primitke te rashode i izdatke iz fondova Europske unije, kao ni potraživanja iz </t>
  </si>
  <si>
    <t xml:space="preserve">        Dječji vrtić Košutica Ferdinandovac nema danih zajmova i potraživanja za dane zajmove. </t>
  </si>
  <si>
    <t xml:space="preserve">        Dječji vrtić Košutica Ferdinandovac tokom izvještajnog razdoblja nije davao jamstva i nije imao plaćanja po protestiranim jamstvima.</t>
  </si>
  <si>
    <t>REBALANS 2023.</t>
  </si>
  <si>
    <t xml:space="preserve">OSTVARENJE/IZVRŠENJE 
1.-12.2022. </t>
  </si>
  <si>
    <t xml:space="preserve">OSTVARENJE/IZVRŠENJE 
1.-12.2023. </t>
  </si>
  <si>
    <t>Prihodi iz nadležnog proračuna za financiranje rashoda za nabavu nefinancijske imovine</t>
  </si>
  <si>
    <t xml:space="preserve">Promidžba i informiranje </t>
  </si>
  <si>
    <t>Rashodi poslovanja u periodu  1. siječnja do 31. prosinca ostvareni su u iznosu 182.349,45 eura ili 80,82 % od Plana.</t>
  </si>
  <si>
    <t>Rashodi za nabavu nefinancijske imovine u periodu 1. siječnja do 31. prosinca ostvareni su u iznosu 3.253,87 eura ili 55,25 % od Plana.</t>
  </si>
  <si>
    <t>Ostvaren je manjak prihoda i primitaka za pokriće u slijedećem razdoblju u iznosu 4.018,96 eura.</t>
  </si>
  <si>
    <t xml:space="preserve">        Prihodi poslovanja u periodu od 1. siječnja do 31. prosinca ostvareni su u iznosu 174.133,60 eura ili 77,17 % od Plana.</t>
  </si>
  <si>
    <t xml:space="preserve">        Od ukupno ostvarenih rashoda najzastupljeniji su rashodi za zaposlene u iznosu 140.157,66 eura te materijalni rashodi u iznosu 41.405,51 eura </t>
  </si>
  <si>
    <t>Rashodi za nabavu dugotrajne imovine su ostvareni u iznosu 3.253,87 eura i odnose se na nabavu uredskog namještaja i ostale opreme.</t>
  </si>
  <si>
    <t xml:space="preserve">        Stanje novčanih sredstava na početku izvještajnog razdoblja je 19.490,32 eura, ukupni priljevi na novčane račune su bili u iznosu 179.463,01 eura.</t>
  </si>
  <si>
    <t>Ukupni odljevi s novčanih računa su bili u iznosu 186.805,46 eura, dok je stanje novčanih sredstava na kraju izvještajnog razdoblja 12.147,87 eura.</t>
  </si>
  <si>
    <t xml:space="preserve">        Pokazatelji rezultata su uspješno razvijene vještine, sposobnosti i ponašanja koja su djetetu omogućila da se prema sebi i drugima odnose </t>
  </si>
  <si>
    <t xml:space="preserve">      Nenaplaćena potraživanja Dječjeg vrtića Košutica Ferdinandovac iznose 3.585,46 eura i odnose se na potraživanja za naknade koje se refundiraju </t>
  </si>
  <si>
    <t xml:space="preserve">odnosno povrat za bolovanja na teret HZZO u iznosu 704,77 eura, potraživanja od strane roditelja za smještaj djeteta te kraće programe etno-tradicijski i rano učenje </t>
  </si>
  <si>
    <t xml:space="preserve">engleskog jezika u iznosu 2.869,31 eura, te potraživanja od zaposlenih koja se odnose na više isplaćeno bolovanje u odnosu na priznato od </t>
  </si>
  <si>
    <t>strane Hrvatskog zavoda za zdravstveno osiguranje u iznosu 11,38 eura.</t>
  </si>
  <si>
    <t xml:space="preserve">        Dječji vrtić Košutica Ferdinandovac u izvještajnom razdoblju nema dospjele obveze, već nedospjele u iznosu 16.960,97 eura koje se sastoje od </t>
  </si>
  <si>
    <t xml:space="preserve">obveza za zaposlene u iznosu 14.798,61 eura te obveze za materijalne i finanancijske rashode u iznosu 2.162,36 eura. </t>
  </si>
  <si>
    <t xml:space="preserve">        Dječji vrtić Košutica Ferdinandovac u izvještajnom razdoblju nema potencijalnih obveza po osnovi sudskih sporova.</t>
  </si>
  <si>
    <t>tri odgojne skupine. Mješovita jaslička skupina - djeca od 1-3. godine starosti, mlađa vrtička skupina - djeca od 3. godine do polaska u školu i mješovita vrtička</t>
  </si>
  <si>
    <t xml:space="preserve">        U redovni 10-satni program u razdoblju od 01. siječnja do 31. prosinca 2023. godine bilo je uključeno 54 djece. Djeca su bila raspoređena u </t>
  </si>
  <si>
    <t xml:space="preserve">        U etno-tradicijski program u razdoblju od 01. siječnja do 31. prosinca 2023. godine bilo je uključeno 17-ero djece. Pokazatelji rezultata su </t>
  </si>
  <si>
    <t xml:space="preserve">        U kraći program ranog učenja engleskog jezika od 01. siječnja do 31. prosinca 2023. godine bilo je uključeno 16-ero djece. Pokazatelji rezultata </t>
  </si>
  <si>
    <t xml:space="preserve">poslovanja i nabave nefinancijske imovine. Prihodi po posebnim propisima ostvareni su u iznosu 21.266,75 eura i odnose se na uplate roditelja za </t>
  </si>
  <si>
    <t xml:space="preserve">eura za provođenje programa male škole. </t>
  </si>
  <si>
    <t>smještaj djece i provođenje kraćih programa ranog učenja engleskog jezika i etno tradicijskog programa. Od strane državnog proračuna je sufinancirano 172,80</t>
  </si>
  <si>
    <t xml:space="preserve">         Od ukupno ostvarenih prihoda najzastupljeniji su prihodi od nadležnog proračuna u iznosu 152.684,30 eura koji su utrošeni za financiranje rashoda  </t>
  </si>
  <si>
    <t xml:space="preserve">        Ovaj Godišnji izvještaj o izvršenju Financijskog plana Dječjeg vrtića Košutica Ferdinandovac  snagu danom objave na oglasnoj ploči </t>
  </si>
  <si>
    <t xml:space="preserve">dječjeg vrtića. </t>
  </si>
  <si>
    <t>Na temelju članka 36. Zakona o ustanovama (NN 76/93, 29/97, 47/99, 35/08, 127/19, 151/22) i članka 41. Statuta Dječjeg vrtića Košutica Ferdinandovac</t>
  </si>
  <si>
    <t>Financijski plan Dječjeg vrtića Košutica Ferdinandovac za 2023. i projekcije za 2024. i 2025. godinu (KLASA:601-02/22-01/68, URBROJ:2137-15-68-22-2 od 29. studenog 2022. godine i I. Izmjene Financijskog plana DV Košutica Ferdinandovac (KLASA:601-02/22-01/68, URBROJ:2137-15-68-23-3 od 23. lipnja 2023. godine)u daljnjem tekstu Financijski plan, izvršen je kako slijedi:</t>
  </si>
  <si>
    <t xml:space="preserve">KLASA:601-02/22-01/68 </t>
  </si>
  <si>
    <t>Ferdinandovac, 12. ožujka 2024.</t>
  </si>
  <si>
    <t>(KLASA:601-02/22-01/45, URBROJ:2137-15-68-22-4 od 18. srpnja 2022. godine), Upravno vijeće Dječjeg vrtića Košutica Ferdinandovac na 33. sjednici</t>
  </si>
  <si>
    <t>održanoj 12. ožujka 2024. donijelo je</t>
  </si>
  <si>
    <t xml:space="preserve"> GODIŠNJI IZVJEŠTAJ O IZVRŠENJU FINANCIJSKOG PLANA DJEČJEG VRTIĆA KOŠUTICA FERDINANDOVAC  ZA 2023. GODINU</t>
  </si>
  <si>
    <t>URBROJ:2137-15-68-24-5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</si>
</sst>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3"/>
      <color rgb="FF231F20"/>
      <name val="Times New Roman"/>
      <family val="1"/>
      <charset val="238"/>
    </font>
    <font>
      <sz val="11"/>
      <color rgb="FF231F20"/>
      <name val="Calibri"/>
      <family val="2"/>
      <charset val="238"/>
    </font>
    <font>
      <sz val="11"/>
      <color rgb="FF231F20"/>
      <name val="Calibri"/>
      <family val="2"/>
      <charset val="238"/>
      <scheme val="minor"/>
    </font>
    <font>
      <i/>
      <sz val="11"/>
      <color rgb="FF231F20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89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3" fillId="2" borderId="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0" fillId="0" borderId="3" xfId="0" applyNumberFormat="1" applyBorder="1"/>
    <xf numFmtId="2" fontId="6" fillId="2" borderId="3" xfId="0" applyNumberFormat="1" applyFont="1" applyFill="1" applyBorder="1" applyAlignment="1">
      <alignment horizontal="right"/>
    </xf>
    <xf numFmtId="2" fontId="1" fillId="0" borderId="3" xfId="0" applyNumberFormat="1" applyFont="1" applyBorder="1"/>
    <xf numFmtId="2" fontId="0" fillId="0" borderId="0" xfId="0" applyNumberFormat="1"/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0" fontId="11" fillId="2" borderId="7" xfId="0" quotePrefix="1" applyFont="1" applyFill="1" applyBorder="1" applyAlignment="1">
      <alignment horizontal="left" vertical="center"/>
    </xf>
    <xf numFmtId="0" fontId="16" fillId="2" borderId="7" xfId="0" quotePrefix="1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right"/>
    </xf>
    <xf numFmtId="0" fontId="11" fillId="2" borderId="6" xfId="0" quotePrefix="1" applyFont="1" applyFill="1" applyBorder="1" applyAlignment="1">
      <alignment horizontal="left" vertical="center"/>
    </xf>
    <xf numFmtId="0" fontId="16" fillId="2" borderId="6" xfId="0" quotePrefix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11" fillId="2" borderId="3" xfId="0" quotePrefix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49" fontId="10" fillId="2" borderId="3" xfId="0" quotePrefix="1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2" borderId="7" xfId="0" quotePrefix="1" applyFont="1" applyFill="1" applyBorder="1" applyAlignment="1">
      <alignment horizontal="left" vertical="center"/>
    </xf>
    <xf numFmtId="0" fontId="10" fillId="2" borderId="7" xfId="0" quotePrefix="1" applyFont="1" applyFill="1" applyBorder="1" applyAlignment="1">
      <alignment horizontal="left" vertical="center"/>
    </xf>
    <xf numFmtId="4" fontId="3" fillId="2" borderId="7" xfId="0" applyNumberFormat="1" applyFont="1" applyFill="1" applyBorder="1" applyAlignment="1">
      <alignment horizontal="right"/>
    </xf>
    <xf numFmtId="4" fontId="0" fillId="0" borderId="7" xfId="0" applyNumberFormat="1" applyBorder="1"/>
    <xf numFmtId="0" fontId="21" fillId="0" borderId="0" xfId="0" applyFont="1"/>
    <xf numFmtId="0" fontId="22" fillId="0" borderId="0" xfId="0" applyFont="1"/>
    <xf numFmtId="0" fontId="22" fillId="0" borderId="3" xfId="0" applyFont="1" applyBorder="1"/>
    <xf numFmtId="0" fontId="21" fillId="0" borderId="3" xfId="0" applyFont="1" applyBorder="1"/>
    <xf numFmtId="0" fontId="23" fillId="0" borderId="3" xfId="0" applyFont="1" applyBorder="1"/>
    <xf numFmtId="0" fontId="24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25" fillId="0" borderId="0" xfId="0" applyFont="1"/>
    <xf numFmtId="0" fontId="26" fillId="0" borderId="3" xfId="0" applyFont="1" applyBorder="1"/>
    <xf numFmtId="0" fontId="23" fillId="0" borderId="0" xfId="0" applyFont="1"/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4" fontId="22" fillId="0" borderId="3" xfId="0" applyNumberFormat="1" applyFont="1" applyBorder="1"/>
    <xf numFmtId="4" fontId="21" fillId="0" borderId="3" xfId="0" applyNumberFormat="1" applyFont="1" applyBorder="1"/>
    <xf numFmtId="0" fontId="10" fillId="2" borderId="3" xfId="0" quotePrefix="1" applyFont="1" applyFill="1" applyBorder="1" applyAlignment="1">
      <alignment vertical="center" wrapText="1"/>
    </xf>
    <xf numFmtId="4" fontId="0" fillId="0" borderId="0" xfId="0" applyNumberFormat="1"/>
    <xf numFmtId="4" fontId="3" fillId="2" borderId="4" xfId="0" applyNumberFormat="1" applyFont="1" applyFill="1" applyBorder="1" applyAlignment="1">
      <alignment horizontal="right" vertical="center"/>
    </xf>
    <xf numFmtId="49" fontId="10" fillId="2" borderId="3" xfId="0" applyNumberFormat="1" applyFont="1" applyFill="1" applyBorder="1" applyAlignment="1">
      <alignment horizontal="left" vertical="center" wrapText="1" indent="1"/>
    </xf>
    <xf numFmtId="0" fontId="27" fillId="2" borderId="4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/>
    </xf>
    <xf numFmtId="0" fontId="23" fillId="0" borderId="3" xfId="0" applyFont="1" applyBorder="1" applyAlignment="1">
      <alignment wrapText="1" shrinkToFit="1"/>
    </xf>
    <xf numFmtId="0" fontId="26" fillId="0" borderId="3" xfId="0" applyFont="1" applyBorder="1" applyAlignment="1">
      <alignment wrapText="1"/>
    </xf>
    <xf numFmtId="0" fontId="29" fillId="0" borderId="3" xfId="0" applyFont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" fontId="6" fillId="2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center" wrapText="1"/>
    </xf>
    <xf numFmtId="4" fontId="6" fillId="3" borderId="4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horizontal="right" vertical="center"/>
    </xf>
    <xf numFmtId="4" fontId="6" fillId="4" borderId="3" xfId="0" applyNumberFormat="1" applyFont="1" applyFill="1" applyBorder="1" applyAlignment="1">
      <alignment horizontal="right" vertical="center"/>
    </xf>
    <xf numFmtId="0" fontId="26" fillId="4" borderId="3" xfId="0" applyFont="1" applyFill="1" applyBorder="1"/>
    <xf numFmtId="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6" fillId="3" borderId="3" xfId="0" quotePrefix="1" applyFont="1" applyFill="1" applyBorder="1" applyAlignment="1">
      <alignment horizontal="center" vertical="center" wrapText="1"/>
    </xf>
    <xf numFmtId="0" fontId="25" fillId="0" borderId="3" xfId="0" applyFont="1" applyBorder="1"/>
    <xf numFmtId="0" fontId="0" fillId="2" borderId="0" xfId="0" applyFill="1"/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8" fillId="0" borderId="5" xfId="0" applyFont="1" applyBorder="1" applyAlignment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21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49" fontId="21" fillId="0" borderId="3" xfId="0" applyNumberFormat="1" applyFont="1" applyBorder="1" applyAlignment="1">
      <alignment horizontal="left"/>
    </xf>
    <xf numFmtId="49" fontId="22" fillId="0" borderId="3" xfId="0" applyNumberFormat="1" applyFont="1" applyBorder="1" applyAlignment="1">
      <alignment horizontal="left"/>
    </xf>
    <xf numFmtId="49" fontId="22" fillId="4" borderId="1" xfId="0" applyNumberFormat="1" applyFont="1" applyFill="1" applyBorder="1" applyAlignment="1">
      <alignment horizontal="left"/>
    </xf>
    <xf numFmtId="49" fontId="22" fillId="4" borderId="2" xfId="0" applyNumberFormat="1" applyFont="1" applyFill="1" applyBorder="1" applyAlignment="1">
      <alignment horizontal="left"/>
    </xf>
    <xf numFmtId="49" fontId="22" fillId="4" borderId="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left"/>
    </xf>
  </cellXfs>
  <cellStyles count="2">
    <cellStyle name="Normalno" xfId="0" builtinId="0"/>
    <cellStyle name="Obično 2" xfId="1" xr:uid="{BAFE7170-C2A8-44F7-A58C-6E905CE12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35"/>
  <sheetViews>
    <sheetView tabSelected="1" workbookViewId="0">
      <selection activeCell="B5" sqref="B5:K5"/>
    </sheetView>
  </sheetViews>
  <sheetFormatPr defaultRowHeight="15" x14ac:dyDescent="0.25"/>
  <cols>
    <col min="6" max="9" width="25.28515625" customWidth="1"/>
    <col min="10" max="11" width="15.7109375" customWidth="1"/>
  </cols>
  <sheetData>
    <row r="2" spans="2:12" x14ac:dyDescent="0.25">
      <c r="B2" s="128" t="s">
        <v>227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2" x14ac:dyDescent="0.25">
      <c r="B3" s="128" t="s">
        <v>231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2:12" x14ac:dyDescent="0.25">
      <c r="B4" s="128" t="s">
        <v>232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12" ht="42" customHeight="1" x14ac:dyDescent="0.25">
      <c r="B5" s="142" t="s">
        <v>233</v>
      </c>
      <c r="C5" s="142"/>
      <c r="D5" s="142"/>
      <c r="E5" s="142"/>
      <c r="F5" s="142"/>
      <c r="G5" s="142"/>
      <c r="H5" s="142"/>
      <c r="I5" s="142"/>
      <c r="J5" s="142"/>
      <c r="K5" s="142"/>
    </row>
    <row r="6" spans="2:12" ht="18" customHeight="1" x14ac:dyDescent="0.25">
      <c r="B6" s="2"/>
      <c r="C6" s="2"/>
      <c r="D6" s="2"/>
      <c r="E6" s="2"/>
      <c r="F6" s="2"/>
      <c r="G6" s="2"/>
      <c r="H6" s="2"/>
      <c r="I6" s="2"/>
      <c r="J6" s="2"/>
    </row>
    <row r="7" spans="2:12" ht="15.75" customHeight="1" x14ac:dyDescent="0.25">
      <c r="B7" s="142" t="s">
        <v>10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2:12" ht="36" customHeight="1" x14ac:dyDescent="0.25">
      <c r="B8" s="144"/>
      <c r="C8" s="144"/>
      <c r="D8" s="144"/>
      <c r="E8" s="2"/>
      <c r="F8" s="2"/>
      <c r="G8" s="2"/>
      <c r="H8" s="2"/>
      <c r="I8" s="3"/>
      <c r="J8" s="3"/>
    </row>
    <row r="9" spans="2:12" ht="15" customHeight="1" x14ac:dyDescent="0.25">
      <c r="B9" s="150" t="s">
        <v>52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2:12" ht="15" customHeight="1" x14ac:dyDescent="0.25">
      <c r="B10" s="44"/>
      <c r="C10" s="44"/>
      <c r="D10" s="44"/>
      <c r="E10" s="2"/>
      <c r="F10" s="2"/>
      <c r="G10" s="2"/>
      <c r="H10" s="2"/>
      <c r="I10" s="3"/>
      <c r="J10" s="3"/>
    </row>
    <row r="11" spans="2:12" ht="27" customHeight="1" x14ac:dyDescent="0.25">
      <c r="B11" s="151" t="s">
        <v>228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2:12" ht="15" customHeight="1" x14ac:dyDescent="0.25"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2:12" ht="15" customHeight="1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2" ht="18" customHeight="1" x14ac:dyDescent="0.25">
      <c r="B14" s="142" t="s">
        <v>43</v>
      </c>
      <c r="C14" s="142"/>
      <c r="D14" s="142"/>
      <c r="E14" s="142"/>
      <c r="F14" s="142"/>
      <c r="G14" s="142"/>
      <c r="H14" s="142"/>
      <c r="I14" s="142"/>
      <c r="J14" s="142"/>
      <c r="K14" s="142"/>
    </row>
    <row r="15" spans="2:12" ht="18" customHeight="1" x14ac:dyDescent="0.25">
      <c r="B15" s="35"/>
      <c r="C15" s="37"/>
      <c r="D15" s="37"/>
      <c r="E15" s="37"/>
      <c r="F15" s="37"/>
      <c r="G15" s="37"/>
      <c r="H15" s="37"/>
      <c r="I15" s="37"/>
      <c r="J15" s="37"/>
    </row>
    <row r="16" spans="2:12" x14ac:dyDescent="0.25">
      <c r="B16" s="138" t="s">
        <v>44</v>
      </c>
      <c r="C16" s="138"/>
      <c r="D16" s="138"/>
      <c r="E16" s="138"/>
      <c r="F16" s="138"/>
      <c r="G16" s="4"/>
      <c r="H16" s="4"/>
      <c r="I16" s="4"/>
      <c r="J16" s="17"/>
    </row>
    <row r="17" spans="1:42" ht="25.5" x14ac:dyDescent="0.25">
      <c r="B17" s="139" t="s">
        <v>5</v>
      </c>
      <c r="C17" s="140"/>
      <c r="D17" s="140"/>
      <c r="E17" s="140"/>
      <c r="F17" s="141"/>
      <c r="G17" s="22" t="s">
        <v>197</v>
      </c>
      <c r="H17" s="1" t="s">
        <v>196</v>
      </c>
      <c r="I17" s="22" t="s">
        <v>198</v>
      </c>
      <c r="J17" s="1" t="s">
        <v>14</v>
      </c>
      <c r="K17" s="1" t="s">
        <v>35</v>
      </c>
    </row>
    <row r="18" spans="1:42" s="25" customFormat="1" ht="11.25" x14ac:dyDescent="0.2">
      <c r="B18" s="131">
        <v>1</v>
      </c>
      <c r="C18" s="131"/>
      <c r="D18" s="131"/>
      <c r="E18" s="131"/>
      <c r="F18" s="132"/>
      <c r="G18" s="24">
        <v>2</v>
      </c>
      <c r="H18" s="23">
        <v>3</v>
      </c>
      <c r="I18" s="23">
        <v>4</v>
      </c>
      <c r="J18" s="23" t="s">
        <v>156</v>
      </c>
      <c r="K18" s="23" t="s">
        <v>157</v>
      </c>
    </row>
    <row r="19" spans="1:42" x14ac:dyDescent="0.25">
      <c r="B19" s="133" t="s">
        <v>0</v>
      </c>
      <c r="C19" s="134"/>
      <c r="D19" s="134"/>
      <c r="E19" s="134"/>
      <c r="F19" s="135"/>
      <c r="G19" s="46">
        <f>G20+G21</f>
        <v>182775.64271019975</v>
      </c>
      <c r="H19" s="46">
        <f t="shared" ref="H19:I19" si="0">H20+H21</f>
        <v>225657.71</v>
      </c>
      <c r="I19" s="46">
        <f t="shared" si="0"/>
        <v>174133.6</v>
      </c>
      <c r="J19" s="46">
        <f>I19/G19*100</f>
        <v>95.271775504626646</v>
      </c>
      <c r="K19" s="46">
        <f>I19/H19*100</f>
        <v>77.167139558404642</v>
      </c>
    </row>
    <row r="20" spans="1:42" x14ac:dyDescent="0.25">
      <c r="B20" s="136" t="s">
        <v>36</v>
      </c>
      <c r="C20" s="137"/>
      <c r="D20" s="137"/>
      <c r="E20" s="137"/>
      <c r="F20" s="130"/>
      <c r="G20" s="47">
        <f>1377123.08/7.5345</f>
        <v>182775.64271019975</v>
      </c>
      <c r="H20" s="47">
        <v>225657.71</v>
      </c>
      <c r="I20" s="47">
        <v>174133.6</v>
      </c>
      <c r="J20" s="47">
        <f t="shared" ref="J20:J25" si="1">I20/G20*100</f>
        <v>95.271775504626646</v>
      </c>
      <c r="K20" s="47">
        <f t="shared" ref="K20:K25" si="2">I20/H20*100</f>
        <v>77.167139558404642</v>
      </c>
    </row>
    <row r="21" spans="1:42" x14ac:dyDescent="0.25">
      <c r="B21" s="129" t="s">
        <v>41</v>
      </c>
      <c r="C21" s="130"/>
      <c r="D21" s="130"/>
      <c r="E21" s="130"/>
      <c r="F21" s="130"/>
      <c r="G21" s="47"/>
      <c r="H21" s="47"/>
      <c r="I21" s="47"/>
      <c r="J21" s="47"/>
      <c r="K21" s="47"/>
    </row>
    <row r="22" spans="1:42" x14ac:dyDescent="0.25">
      <c r="B22" s="18" t="s">
        <v>1</v>
      </c>
      <c r="C22" s="36"/>
      <c r="D22" s="36"/>
      <c r="E22" s="36"/>
      <c r="F22" s="36"/>
      <c r="G22" s="46">
        <f>G23+G24</f>
        <v>172642.13683721548</v>
      </c>
      <c r="H22" s="46">
        <f t="shared" ref="H22:I22" si="3">H23+H24</f>
        <v>231515.58000000002</v>
      </c>
      <c r="I22" s="46">
        <f t="shared" si="3"/>
        <v>185603.32</v>
      </c>
      <c r="J22" s="46">
        <f t="shared" si="1"/>
        <v>107.50754329170846</v>
      </c>
      <c r="K22" s="46">
        <f t="shared" si="2"/>
        <v>80.168824923143404</v>
      </c>
    </row>
    <row r="23" spans="1:42" x14ac:dyDescent="0.25">
      <c r="B23" s="153" t="s">
        <v>37</v>
      </c>
      <c r="C23" s="137"/>
      <c r="D23" s="137"/>
      <c r="E23" s="137"/>
      <c r="F23" s="137"/>
      <c r="G23" s="47">
        <f>1267644.74/7.5345+0.01</f>
        <v>168245.37996482846</v>
      </c>
      <c r="H23" s="47">
        <v>225626.57</v>
      </c>
      <c r="I23" s="47">
        <v>182349.45</v>
      </c>
      <c r="J23" s="47">
        <f t="shared" si="1"/>
        <v>108.38303556277147</v>
      </c>
      <c r="K23" s="47">
        <f t="shared" si="2"/>
        <v>80.819138455191691</v>
      </c>
    </row>
    <row r="24" spans="1:42" x14ac:dyDescent="0.25">
      <c r="B24" s="129" t="s">
        <v>38</v>
      </c>
      <c r="C24" s="130"/>
      <c r="D24" s="130"/>
      <c r="E24" s="130"/>
      <c r="F24" s="130"/>
      <c r="G24" s="47">
        <f>33127.44/7.5345-0.01</f>
        <v>4396.7568723870199</v>
      </c>
      <c r="H24" s="47">
        <v>5889.01</v>
      </c>
      <c r="I24" s="47">
        <v>3253.87</v>
      </c>
      <c r="J24" s="47">
        <f t="shared" si="1"/>
        <v>74.006138943804245</v>
      </c>
      <c r="K24" s="47">
        <f t="shared" si="2"/>
        <v>55.253259885787251</v>
      </c>
    </row>
    <row r="25" spans="1:42" x14ac:dyDescent="0.25">
      <c r="B25" s="143" t="s">
        <v>45</v>
      </c>
      <c r="C25" s="134"/>
      <c r="D25" s="134"/>
      <c r="E25" s="134"/>
      <c r="F25" s="134"/>
      <c r="G25" s="46">
        <f>G19-G22-0.01</f>
        <v>10133.495872984271</v>
      </c>
      <c r="H25" s="46">
        <f t="shared" ref="H25:I25" si="4">H19-H22</f>
        <v>-5857.8700000000244</v>
      </c>
      <c r="I25" s="46">
        <f t="shared" si="4"/>
        <v>-11469.720000000001</v>
      </c>
      <c r="J25" s="46">
        <f t="shared" si="1"/>
        <v>-113.18621079797428</v>
      </c>
      <c r="K25" s="46">
        <f t="shared" si="2"/>
        <v>195.80017992888122</v>
      </c>
    </row>
    <row r="26" spans="1:42" ht="18" x14ac:dyDescent="0.25">
      <c r="B26" s="2"/>
      <c r="C26" s="15"/>
      <c r="D26" s="15"/>
      <c r="E26" s="15"/>
      <c r="F26" s="15"/>
      <c r="G26" s="15"/>
      <c r="H26" s="15"/>
      <c r="I26" s="16"/>
      <c r="J26" s="16"/>
      <c r="K26" s="16"/>
    </row>
    <row r="27" spans="1:42" ht="18" customHeight="1" x14ac:dyDescent="0.25">
      <c r="B27" s="138" t="s">
        <v>46</v>
      </c>
      <c r="C27" s="138"/>
      <c r="D27" s="138"/>
      <c r="E27" s="138"/>
      <c r="F27" s="138"/>
      <c r="G27" s="15"/>
      <c r="H27" s="15"/>
      <c r="I27" s="16"/>
      <c r="J27" s="16"/>
      <c r="K27" s="16"/>
    </row>
    <row r="28" spans="1:42" ht="25.5" x14ac:dyDescent="0.25">
      <c r="B28" s="139" t="s">
        <v>5</v>
      </c>
      <c r="C28" s="140"/>
      <c r="D28" s="140"/>
      <c r="E28" s="140"/>
      <c r="F28" s="141"/>
      <c r="G28" s="22" t="s">
        <v>197</v>
      </c>
      <c r="H28" s="1" t="s">
        <v>196</v>
      </c>
      <c r="I28" s="22" t="s">
        <v>198</v>
      </c>
      <c r="J28" s="1" t="s">
        <v>14</v>
      </c>
      <c r="K28" s="1" t="s">
        <v>35</v>
      </c>
    </row>
    <row r="29" spans="1:42" s="25" customFormat="1" x14ac:dyDescent="0.25">
      <c r="B29" s="131">
        <v>1</v>
      </c>
      <c r="C29" s="131"/>
      <c r="D29" s="131"/>
      <c r="E29" s="131"/>
      <c r="F29" s="132"/>
      <c r="G29" s="24">
        <v>2</v>
      </c>
      <c r="H29" s="23">
        <v>3</v>
      </c>
      <c r="I29" s="23">
        <v>4</v>
      </c>
      <c r="J29" s="23" t="s">
        <v>156</v>
      </c>
      <c r="K29" s="23" t="s">
        <v>157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5.75" customHeight="1" x14ac:dyDescent="0.25">
      <c r="A30" s="25"/>
      <c r="B30" s="136" t="s">
        <v>39</v>
      </c>
      <c r="C30" s="148"/>
      <c r="D30" s="148"/>
      <c r="E30" s="148"/>
      <c r="F30" s="149"/>
      <c r="G30" s="47"/>
      <c r="H30" s="47"/>
      <c r="I30" s="47"/>
      <c r="J30" s="23"/>
      <c r="K30" s="47"/>
    </row>
    <row r="31" spans="1:42" x14ac:dyDescent="0.25">
      <c r="A31" s="25"/>
      <c r="B31" s="136" t="s">
        <v>40</v>
      </c>
      <c r="C31" s="137"/>
      <c r="D31" s="137"/>
      <c r="E31" s="137"/>
      <c r="F31" s="137"/>
      <c r="G31" s="47"/>
      <c r="H31" s="47"/>
      <c r="I31" s="47"/>
      <c r="J31" s="23"/>
      <c r="K31" s="47"/>
    </row>
    <row r="32" spans="1:42" s="38" customFormat="1" ht="15" customHeight="1" x14ac:dyDescent="0.25">
      <c r="A32" s="25"/>
      <c r="B32" s="145" t="s">
        <v>42</v>
      </c>
      <c r="C32" s="146"/>
      <c r="D32" s="146"/>
      <c r="E32" s="146"/>
      <c r="F32" s="147"/>
      <c r="G32" s="46"/>
      <c r="H32" s="46"/>
      <c r="I32" s="46"/>
      <c r="J32" s="40"/>
      <c r="K32" s="4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38" customFormat="1" ht="15" customHeight="1" x14ac:dyDescent="0.25">
      <c r="A33" s="25"/>
      <c r="B33" s="145" t="s">
        <v>47</v>
      </c>
      <c r="C33" s="146"/>
      <c r="D33" s="146"/>
      <c r="E33" s="146"/>
      <c r="F33" s="147"/>
      <c r="G33" s="46">
        <f>-20213.12/7.5345</f>
        <v>-2682.7420532218457</v>
      </c>
      <c r="H33" s="46">
        <v>5857.87</v>
      </c>
      <c r="I33" s="46">
        <v>7450.76</v>
      </c>
      <c r="J33" s="100">
        <f t="shared" ref="J33:J34" si="5">I33/G33*100</f>
        <v>-277.7292729672609</v>
      </c>
      <c r="K33" s="46">
        <f t="shared" ref="K33" si="6">I33/H33*100</f>
        <v>127.19230710138669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x14ac:dyDescent="0.25">
      <c r="A34" s="25"/>
      <c r="B34" s="143" t="s">
        <v>48</v>
      </c>
      <c r="C34" s="134"/>
      <c r="D34" s="134"/>
      <c r="E34" s="134"/>
      <c r="F34" s="134"/>
      <c r="G34" s="46">
        <f>56137.78/7.5345</f>
        <v>7450.7638197624256</v>
      </c>
      <c r="H34" s="46"/>
      <c r="I34" s="46">
        <f>I25+I33</f>
        <v>-4018.9600000000009</v>
      </c>
      <c r="J34" s="100">
        <f t="shared" si="5"/>
        <v>-53.940241527185449</v>
      </c>
      <c r="K34" s="46"/>
    </row>
    <row r="35" spans="1:42" ht="15.75" x14ac:dyDescent="0.25">
      <c r="B35" s="12"/>
      <c r="C35" s="13"/>
      <c r="D35" s="13"/>
      <c r="E35" s="13"/>
      <c r="F35" s="13"/>
      <c r="G35" s="14"/>
      <c r="H35" s="14"/>
      <c r="I35" s="14"/>
      <c r="J35" s="14"/>
    </row>
  </sheetData>
  <mergeCells count="23">
    <mergeCell ref="B5:K5"/>
    <mergeCell ref="B34:F34"/>
    <mergeCell ref="B8:D8"/>
    <mergeCell ref="B33:F33"/>
    <mergeCell ref="B28:F28"/>
    <mergeCell ref="B29:F29"/>
    <mergeCell ref="B31:F31"/>
    <mergeCell ref="B32:F32"/>
    <mergeCell ref="B30:F30"/>
    <mergeCell ref="B7:L7"/>
    <mergeCell ref="B9:L9"/>
    <mergeCell ref="B11:L11"/>
    <mergeCell ref="B27:F27"/>
    <mergeCell ref="B25:F25"/>
    <mergeCell ref="B14:K14"/>
    <mergeCell ref="B23:F23"/>
    <mergeCell ref="B24:F24"/>
    <mergeCell ref="B18:F18"/>
    <mergeCell ref="B19:F19"/>
    <mergeCell ref="B20:F20"/>
    <mergeCell ref="B16:F16"/>
    <mergeCell ref="B17:F17"/>
    <mergeCell ref="B21:F21"/>
  </mergeCells>
  <phoneticPr fontId="31" type="noConversion"/>
  <pageMargins left="0.25" right="0.25" top="0.75" bottom="0.75" header="0.3" footer="0.3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8"/>
  <sheetViews>
    <sheetView topLeftCell="A73" workbookViewId="0">
      <selection activeCell="A36" sqref="A36:XFD3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style="79" bestFit="1" customWidth="1"/>
    <col min="5" max="5" width="5.42578125" customWidth="1"/>
    <col min="6" max="6" width="44.7109375" customWidth="1"/>
    <col min="7" max="9" width="25.28515625" customWidth="1"/>
    <col min="10" max="11" width="15.7109375" customWidth="1"/>
  </cols>
  <sheetData>
    <row r="1" spans="2:11" ht="18" customHeight="1" x14ac:dyDescent="0.25">
      <c r="B1" s="2"/>
      <c r="C1" s="2"/>
      <c r="D1" s="77"/>
      <c r="E1" s="2"/>
      <c r="F1" s="2"/>
      <c r="G1" s="2"/>
      <c r="H1" s="2"/>
      <c r="I1" s="2"/>
      <c r="J1" s="2"/>
    </row>
    <row r="2" spans="2:11" ht="15.75" customHeight="1" x14ac:dyDescent="0.25">
      <c r="B2" s="157" t="s">
        <v>10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2:11" ht="18.75" x14ac:dyDescent="0.25">
      <c r="B3" s="2"/>
      <c r="C3" s="2"/>
      <c r="D3" s="77"/>
      <c r="E3" s="2"/>
      <c r="F3" s="2"/>
      <c r="G3" s="2"/>
      <c r="H3" s="2"/>
      <c r="I3" s="3"/>
      <c r="J3" s="3"/>
    </row>
    <row r="4" spans="2:11" x14ac:dyDescent="0.25">
      <c r="B4" s="158" t="s">
        <v>53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2:11" ht="18.75" x14ac:dyDescent="0.25">
      <c r="B5" s="2"/>
      <c r="C5" s="2"/>
      <c r="D5" s="77"/>
      <c r="E5" s="2"/>
      <c r="F5" s="2"/>
      <c r="G5" s="2"/>
      <c r="H5" s="2"/>
      <c r="I5" s="3"/>
      <c r="J5" s="3"/>
    </row>
    <row r="6" spans="2:11" ht="18" customHeight="1" x14ac:dyDescent="0.25">
      <c r="B6" s="142" t="s">
        <v>49</v>
      </c>
      <c r="C6" s="142"/>
      <c r="D6" s="142"/>
      <c r="E6" s="142"/>
      <c r="F6" s="142"/>
      <c r="G6" s="142"/>
      <c r="H6" s="142"/>
      <c r="I6" s="142"/>
      <c r="J6" s="142"/>
      <c r="K6" s="142"/>
    </row>
    <row r="7" spans="2:11" ht="18.75" x14ac:dyDescent="0.25">
      <c r="B7" s="2"/>
      <c r="C7" s="2"/>
      <c r="D7" s="77"/>
      <c r="E7" s="2"/>
      <c r="F7" s="2"/>
      <c r="G7" s="2"/>
      <c r="H7" s="2"/>
      <c r="I7" s="3"/>
      <c r="J7" s="3"/>
    </row>
    <row r="8" spans="2:11" ht="15.75" customHeight="1" x14ac:dyDescent="0.25">
      <c r="B8" s="142" t="s">
        <v>15</v>
      </c>
      <c r="C8" s="142"/>
      <c r="D8" s="142"/>
      <c r="E8" s="142"/>
      <c r="F8" s="142"/>
      <c r="G8" s="142"/>
      <c r="H8" s="142"/>
      <c r="I8" s="142"/>
      <c r="J8" s="142"/>
      <c r="K8" s="142"/>
    </row>
    <row r="9" spans="2:11" ht="18.75" x14ac:dyDescent="0.25">
      <c r="B9" s="2"/>
      <c r="C9" s="2"/>
      <c r="D9" s="77"/>
      <c r="E9" s="2"/>
      <c r="F9" s="2"/>
      <c r="G9" s="2"/>
      <c r="H9" s="2"/>
      <c r="I9" s="3"/>
      <c r="J9" s="3"/>
    </row>
    <row r="10" spans="2:11" ht="25.5" x14ac:dyDescent="0.25">
      <c r="B10" s="154" t="s">
        <v>5</v>
      </c>
      <c r="C10" s="155"/>
      <c r="D10" s="155"/>
      <c r="E10" s="155"/>
      <c r="F10" s="156"/>
      <c r="G10" s="126" t="s">
        <v>197</v>
      </c>
      <c r="H10" s="39" t="s">
        <v>196</v>
      </c>
      <c r="I10" s="126" t="s">
        <v>198</v>
      </c>
      <c r="J10" s="39" t="s">
        <v>14</v>
      </c>
      <c r="K10" s="39" t="s">
        <v>35</v>
      </c>
    </row>
    <row r="11" spans="2:11" ht="16.5" customHeight="1" x14ac:dyDescent="0.25">
      <c r="B11" s="154">
        <v>1</v>
      </c>
      <c r="C11" s="155"/>
      <c r="D11" s="155"/>
      <c r="E11" s="155"/>
      <c r="F11" s="156"/>
      <c r="G11" s="39">
        <v>2</v>
      </c>
      <c r="H11" s="39">
        <v>3</v>
      </c>
      <c r="I11" s="39">
        <v>4</v>
      </c>
      <c r="J11" s="39" t="s">
        <v>156</v>
      </c>
      <c r="K11" s="39" t="s">
        <v>157</v>
      </c>
    </row>
    <row r="12" spans="2:11" x14ac:dyDescent="0.25">
      <c r="B12" s="5"/>
      <c r="C12" s="5"/>
      <c r="D12" s="78"/>
      <c r="E12" s="5"/>
      <c r="F12" s="5" t="s">
        <v>16</v>
      </c>
      <c r="G12" s="62">
        <f>G13</f>
        <v>182775.64271019975</v>
      </c>
      <c r="H12" s="62">
        <f>H13</f>
        <v>225657.71000000002</v>
      </c>
      <c r="I12" s="62">
        <f t="shared" ref="I12" si="0">I13</f>
        <v>174133.59999999998</v>
      </c>
      <c r="J12" s="63">
        <f>I12/G12*100</f>
        <v>95.271775504626632</v>
      </c>
      <c r="K12" s="63">
        <f>I12/H12*100</f>
        <v>77.167139558404614</v>
      </c>
    </row>
    <row r="13" spans="2:11" ht="15.75" customHeight="1" x14ac:dyDescent="0.25">
      <c r="B13" s="5">
        <v>6</v>
      </c>
      <c r="C13" s="5"/>
      <c r="D13" s="78"/>
      <c r="E13" s="5"/>
      <c r="F13" s="5" t="s">
        <v>2</v>
      </c>
      <c r="G13" s="62">
        <f>G17+G23+G29+G14+G20</f>
        <v>182775.64271019975</v>
      </c>
      <c r="H13" s="62">
        <f>H17+H23+H29+H14+H20</f>
        <v>225657.71000000002</v>
      </c>
      <c r="I13" s="62">
        <f>I17+I23+I29+I14+I20</f>
        <v>174133.59999999998</v>
      </c>
      <c r="J13" s="63">
        <f t="shared" ref="J13:J32" si="1">I13/G13*100</f>
        <v>95.271775504626632</v>
      </c>
      <c r="K13" s="63">
        <f t="shared" ref="K13:K31" si="2">I13/H13*100</f>
        <v>77.167139558404614</v>
      </c>
    </row>
    <row r="14" spans="2:11" s="34" customFormat="1" ht="25.5" x14ac:dyDescent="0.25">
      <c r="B14" s="21"/>
      <c r="C14" s="21">
        <v>63</v>
      </c>
      <c r="D14" s="32"/>
      <c r="E14" s="32"/>
      <c r="F14" s="11" t="s">
        <v>65</v>
      </c>
      <c r="G14" s="50">
        <f>G15</f>
        <v>477.80211029265377</v>
      </c>
      <c r="H14" s="50">
        <f t="shared" ref="H14:I15" si="3">H15</f>
        <v>265.45</v>
      </c>
      <c r="I14" s="50">
        <f t="shared" si="3"/>
        <v>172.8</v>
      </c>
      <c r="J14" s="63">
        <f t="shared" si="1"/>
        <v>36.165600000000005</v>
      </c>
      <c r="K14" s="63">
        <f t="shared" si="2"/>
        <v>65.097005085703529</v>
      </c>
    </row>
    <row r="15" spans="2:11" ht="25.5" x14ac:dyDescent="0.25">
      <c r="B15" s="6"/>
      <c r="C15" s="6"/>
      <c r="D15" s="7">
        <v>636</v>
      </c>
      <c r="E15" s="7"/>
      <c r="F15" s="11" t="s">
        <v>66</v>
      </c>
      <c r="G15" s="48">
        <f>G16</f>
        <v>477.80211029265377</v>
      </c>
      <c r="H15" s="48">
        <f t="shared" si="3"/>
        <v>265.45</v>
      </c>
      <c r="I15" s="48">
        <f t="shared" si="3"/>
        <v>172.8</v>
      </c>
      <c r="J15" s="54">
        <f t="shared" si="1"/>
        <v>36.165600000000005</v>
      </c>
      <c r="K15" s="54">
        <f t="shared" si="2"/>
        <v>65.097005085703529</v>
      </c>
    </row>
    <row r="16" spans="2:11" ht="25.5" x14ac:dyDescent="0.25">
      <c r="B16" s="6"/>
      <c r="C16" s="6"/>
      <c r="D16" s="7"/>
      <c r="E16" s="7">
        <v>6361</v>
      </c>
      <c r="F16" s="11" t="s">
        <v>67</v>
      </c>
      <c r="G16" s="48">
        <f>3600/7.5345</f>
        <v>477.80211029265377</v>
      </c>
      <c r="H16" s="48">
        <v>265.45</v>
      </c>
      <c r="I16" s="49">
        <v>172.8</v>
      </c>
      <c r="J16" s="54">
        <f t="shared" si="1"/>
        <v>36.165600000000005</v>
      </c>
      <c r="K16" s="54">
        <f t="shared" si="2"/>
        <v>65.097005085703529</v>
      </c>
    </row>
    <row r="17" spans="2:11" s="34" customFormat="1" x14ac:dyDescent="0.25">
      <c r="B17" s="21"/>
      <c r="C17" s="21">
        <v>64</v>
      </c>
      <c r="D17" s="32"/>
      <c r="E17" s="32"/>
      <c r="F17" s="5" t="s">
        <v>54</v>
      </c>
      <c r="G17" s="50">
        <f>G18</f>
        <v>299.83144203331341</v>
      </c>
      <c r="H17" s="50"/>
      <c r="I17" s="51">
        <f>I18</f>
        <v>9.75</v>
      </c>
      <c r="J17" s="63">
        <f t="shared" si="1"/>
        <v>3.2518270711971247</v>
      </c>
      <c r="K17" s="63"/>
    </row>
    <row r="18" spans="2:11" x14ac:dyDescent="0.25">
      <c r="B18" s="6"/>
      <c r="C18" s="21"/>
      <c r="D18" s="7">
        <v>642</v>
      </c>
      <c r="E18" s="7"/>
      <c r="F18" s="82" t="s">
        <v>55</v>
      </c>
      <c r="G18" s="48">
        <f>G19</f>
        <v>299.83144203331341</v>
      </c>
      <c r="H18" s="48"/>
      <c r="I18" s="49">
        <f>I19</f>
        <v>9.75</v>
      </c>
      <c r="J18" s="54">
        <f t="shared" si="1"/>
        <v>3.2518270711971247</v>
      </c>
      <c r="K18" s="54"/>
    </row>
    <row r="19" spans="2:11" x14ac:dyDescent="0.25">
      <c r="B19" s="6"/>
      <c r="C19" s="21"/>
      <c r="D19" s="7"/>
      <c r="E19" s="7">
        <v>6429</v>
      </c>
      <c r="F19" s="82" t="s">
        <v>56</v>
      </c>
      <c r="G19" s="48">
        <f>2259.08/7.5345</f>
        <v>299.83144203331341</v>
      </c>
      <c r="H19" s="48"/>
      <c r="I19" s="49">
        <v>9.75</v>
      </c>
      <c r="J19" s="54">
        <f t="shared" si="1"/>
        <v>3.2518270711971247</v>
      </c>
      <c r="K19" s="54"/>
    </row>
    <row r="20" spans="2:11" s="34" customFormat="1" ht="38.25" x14ac:dyDescent="0.25">
      <c r="B20" s="55"/>
      <c r="C20" s="55">
        <v>65</v>
      </c>
      <c r="D20" s="56"/>
      <c r="E20" s="56"/>
      <c r="F20" s="57" t="s">
        <v>108</v>
      </c>
      <c r="G20" s="58">
        <f>G21</f>
        <v>20150.6403875506</v>
      </c>
      <c r="H20" s="58">
        <f>H21</f>
        <v>21899.26</v>
      </c>
      <c r="I20" s="58">
        <f t="shared" ref="I20:I21" si="4">I21</f>
        <v>21266.75</v>
      </c>
      <c r="J20" s="63"/>
      <c r="K20" s="63">
        <f t="shared" si="2"/>
        <v>97.111728889469333</v>
      </c>
    </row>
    <row r="21" spans="2:11" x14ac:dyDescent="0.25">
      <c r="B21" s="68"/>
      <c r="C21" s="55"/>
      <c r="D21" s="69">
        <v>652</v>
      </c>
      <c r="E21" s="69"/>
      <c r="F21" s="83" t="s">
        <v>109</v>
      </c>
      <c r="G21" s="70">
        <f>G22</f>
        <v>20150.6403875506</v>
      </c>
      <c r="H21" s="70">
        <f>H22</f>
        <v>21899.26</v>
      </c>
      <c r="I21" s="70">
        <f t="shared" si="4"/>
        <v>21266.75</v>
      </c>
      <c r="J21" s="54"/>
      <c r="K21" s="54">
        <f t="shared" si="2"/>
        <v>97.111728889469333</v>
      </c>
    </row>
    <row r="22" spans="2:11" x14ac:dyDescent="0.25">
      <c r="B22" s="68"/>
      <c r="C22" s="55"/>
      <c r="D22" s="69"/>
      <c r="E22" s="69">
        <v>6526</v>
      </c>
      <c r="F22" s="83" t="s">
        <v>110</v>
      </c>
      <c r="G22" s="70">
        <f>151825/7.5345</f>
        <v>20150.6403875506</v>
      </c>
      <c r="H22" s="70">
        <v>21899.26</v>
      </c>
      <c r="I22" s="71">
        <v>21266.75</v>
      </c>
      <c r="J22" s="54"/>
      <c r="K22" s="54">
        <f t="shared" si="2"/>
        <v>97.111728889469333</v>
      </c>
    </row>
    <row r="23" spans="2:11" s="34" customFormat="1" ht="38.25" x14ac:dyDescent="0.25">
      <c r="B23" s="55"/>
      <c r="C23" s="55">
        <v>66</v>
      </c>
      <c r="D23" s="56"/>
      <c r="E23" s="56"/>
      <c r="F23" s="57" t="s">
        <v>57</v>
      </c>
      <c r="G23" s="159">
        <f>G25+G27</f>
        <v>79.633685048775632</v>
      </c>
      <c r="H23" s="159">
        <f t="shared" ref="H23:I23" si="5">H25+H27</f>
        <v>0</v>
      </c>
      <c r="I23" s="159">
        <f t="shared" si="5"/>
        <v>0</v>
      </c>
      <c r="J23" s="161">
        <f t="shared" si="1"/>
        <v>0</v>
      </c>
      <c r="K23" s="161"/>
    </row>
    <row r="24" spans="2:11" s="34" customFormat="1" x14ac:dyDescent="0.25">
      <c r="B24" s="59"/>
      <c r="C24" s="59"/>
      <c r="D24" s="60"/>
      <c r="E24" s="60"/>
      <c r="F24" s="61" t="s">
        <v>58</v>
      </c>
      <c r="G24" s="160"/>
      <c r="H24" s="160"/>
      <c r="I24" s="160"/>
      <c r="J24" s="161"/>
      <c r="K24" s="161"/>
    </row>
    <row r="25" spans="2:11" ht="25.5" x14ac:dyDescent="0.25">
      <c r="B25" s="6"/>
      <c r="C25" s="6"/>
      <c r="D25" s="7">
        <v>661</v>
      </c>
      <c r="E25" s="7"/>
      <c r="F25" s="82" t="s">
        <v>17</v>
      </c>
      <c r="G25" s="53">
        <f>G26</f>
        <v>0</v>
      </c>
      <c r="H25" s="53">
        <f t="shared" ref="H25:I25" si="6">H26</f>
        <v>0</v>
      </c>
      <c r="I25" s="53">
        <f t="shared" si="6"/>
        <v>0</v>
      </c>
      <c r="J25" s="54"/>
      <c r="K25" s="54"/>
    </row>
    <row r="26" spans="2:11" x14ac:dyDescent="0.25">
      <c r="B26" s="6"/>
      <c r="C26" s="6"/>
      <c r="D26" s="7"/>
      <c r="E26" s="7">
        <v>6615</v>
      </c>
      <c r="F26" s="82" t="s">
        <v>59</v>
      </c>
      <c r="G26" s="53"/>
      <c r="H26" s="48"/>
      <c r="I26" s="49"/>
      <c r="J26" s="54"/>
      <c r="K26" s="54"/>
    </row>
    <row r="27" spans="2:11" ht="38.25" x14ac:dyDescent="0.25">
      <c r="B27" s="6"/>
      <c r="C27" s="6"/>
      <c r="D27" s="7">
        <v>663</v>
      </c>
      <c r="E27" s="7"/>
      <c r="F27" s="82" t="s">
        <v>60</v>
      </c>
      <c r="G27" s="48">
        <f>G28</f>
        <v>79.633685048775632</v>
      </c>
      <c r="H27" s="48"/>
      <c r="I27" s="49"/>
      <c r="J27" s="54">
        <f t="shared" si="1"/>
        <v>0</v>
      </c>
      <c r="K27" s="54"/>
    </row>
    <row r="28" spans="2:11" x14ac:dyDescent="0.25">
      <c r="B28" s="6"/>
      <c r="C28" s="6"/>
      <c r="D28" s="7"/>
      <c r="E28" s="7">
        <v>6631</v>
      </c>
      <c r="F28" s="82" t="s">
        <v>61</v>
      </c>
      <c r="G28" s="48">
        <f>600/7.5345</f>
        <v>79.633685048775632</v>
      </c>
      <c r="H28" s="48"/>
      <c r="I28" s="49"/>
      <c r="J28" s="54">
        <f t="shared" si="1"/>
        <v>0</v>
      </c>
      <c r="K28" s="54"/>
    </row>
    <row r="29" spans="2:11" s="34" customFormat="1" ht="25.5" x14ac:dyDescent="0.25">
      <c r="B29" s="21"/>
      <c r="C29" s="21">
        <v>67</v>
      </c>
      <c r="D29" s="32"/>
      <c r="E29" s="32"/>
      <c r="F29" s="5" t="s">
        <v>62</v>
      </c>
      <c r="G29" s="62">
        <f>G30</f>
        <v>161767.73508527441</v>
      </c>
      <c r="H29" s="62">
        <f t="shared" ref="H29:H30" si="7">H30</f>
        <v>203493</v>
      </c>
      <c r="I29" s="62">
        <f>I30</f>
        <v>152684.29999999999</v>
      </c>
      <c r="J29" s="63">
        <f t="shared" si="1"/>
        <v>94.384890732081914</v>
      </c>
      <c r="K29" s="63">
        <f t="shared" si="2"/>
        <v>75.03172099285969</v>
      </c>
    </row>
    <row r="30" spans="2:11" ht="25.5" x14ac:dyDescent="0.25">
      <c r="B30" s="6"/>
      <c r="C30" s="6"/>
      <c r="D30" s="7">
        <v>671</v>
      </c>
      <c r="E30" s="7"/>
      <c r="F30" s="82" t="s">
        <v>63</v>
      </c>
      <c r="G30" s="53">
        <f>G31+G32</f>
        <v>161767.73508527441</v>
      </c>
      <c r="H30" s="53">
        <f t="shared" si="7"/>
        <v>203493</v>
      </c>
      <c r="I30" s="53">
        <f>I31+I32</f>
        <v>152684.29999999999</v>
      </c>
      <c r="J30" s="54">
        <f t="shared" si="1"/>
        <v>94.384890732081914</v>
      </c>
      <c r="K30" s="54">
        <f t="shared" si="2"/>
        <v>75.03172099285969</v>
      </c>
    </row>
    <row r="31" spans="2:11" ht="25.5" x14ac:dyDescent="0.25">
      <c r="B31" s="6"/>
      <c r="C31" s="6"/>
      <c r="D31" s="7"/>
      <c r="E31" s="7">
        <v>6711</v>
      </c>
      <c r="F31" s="11" t="s">
        <v>64</v>
      </c>
      <c r="G31" s="53">
        <f>1185711.56/7.5345</f>
        <v>157370.96821288738</v>
      </c>
      <c r="H31" s="53">
        <v>203493</v>
      </c>
      <c r="I31" s="54">
        <v>149430.43</v>
      </c>
      <c r="J31" s="54">
        <f t="shared" si="1"/>
        <v>94.954254712250588</v>
      </c>
      <c r="K31" s="54">
        <f t="shared" si="2"/>
        <v>73.432712673163209</v>
      </c>
    </row>
    <row r="32" spans="2:11" ht="30.75" customHeight="1" x14ac:dyDescent="0.25">
      <c r="B32" s="26"/>
      <c r="C32" s="26"/>
      <c r="D32" s="127"/>
      <c r="E32" s="26">
        <v>6712</v>
      </c>
      <c r="F32" s="11" t="s">
        <v>199</v>
      </c>
      <c r="G32" s="54">
        <f>33127.44/7.5345</f>
        <v>4396.7668723870202</v>
      </c>
      <c r="H32" s="54"/>
      <c r="I32" s="54">
        <v>3253.87</v>
      </c>
      <c r="J32" s="54">
        <f t="shared" si="1"/>
        <v>74.005970624352486</v>
      </c>
      <c r="K32" s="54"/>
    </row>
    <row r="33" spans="2:11" ht="15.75" customHeight="1" x14ac:dyDescent="0.25">
      <c r="G33" s="52"/>
      <c r="H33" s="52"/>
      <c r="I33" s="52"/>
    </row>
    <row r="34" spans="2:11" ht="15.75" customHeight="1" x14ac:dyDescent="0.25">
      <c r="G34" s="52"/>
      <c r="H34" s="52"/>
      <c r="I34" s="52"/>
    </row>
    <row r="35" spans="2:11" ht="15.75" customHeight="1" x14ac:dyDescent="0.25">
      <c r="G35" s="52"/>
      <c r="H35" s="52"/>
      <c r="I35" s="52"/>
    </row>
    <row r="36" spans="2:11" ht="15.75" customHeight="1" x14ac:dyDescent="0.25">
      <c r="G36" s="52"/>
      <c r="H36" s="52"/>
      <c r="I36" s="52"/>
    </row>
    <row r="37" spans="2:11" ht="15.75" customHeight="1" x14ac:dyDescent="0.25">
      <c r="G37" s="52"/>
      <c r="H37" s="52"/>
      <c r="I37" s="52"/>
    </row>
    <row r="38" spans="2:11" ht="15.75" customHeight="1" x14ac:dyDescent="0.25">
      <c r="B38" s="2"/>
      <c r="C38" s="2"/>
      <c r="D38" s="77"/>
      <c r="E38" s="2"/>
      <c r="F38" s="2"/>
      <c r="G38" s="2"/>
      <c r="H38" s="2"/>
      <c r="I38" s="3"/>
      <c r="J38" s="3"/>
      <c r="K38" s="3"/>
    </row>
    <row r="39" spans="2:11" ht="25.5" x14ac:dyDescent="0.25">
      <c r="B39" s="154" t="s">
        <v>5</v>
      </c>
      <c r="C39" s="155"/>
      <c r="D39" s="155"/>
      <c r="E39" s="155"/>
      <c r="F39" s="156"/>
      <c r="G39" s="126" t="s">
        <v>197</v>
      </c>
      <c r="H39" s="39" t="s">
        <v>196</v>
      </c>
      <c r="I39" s="126" t="s">
        <v>198</v>
      </c>
      <c r="J39" s="39" t="s">
        <v>14</v>
      </c>
      <c r="K39" s="39" t="s">
        <v>35</v>
      </c>
    </row>
    <row r="40" spans="2:11" ht="12.75" customHeight="1" x14ac:dyDescent="0.25">
      <c r="B40" s="154">
        <v>1</v>
      </c>
      <c r="C40" s="155"/>
      <c r="D40" s="155"/>
      <c r="E40" s="155"/>
      <c r="F40" s="156"/>
      <c r="G40" s="39">
        <v>2</v>
      </c>
      <c r="H40" s="39">
        <v>3</v>
      </c>
      <c r="I40" s="39">
        <v>4</v>
      </c>
      <c r="J40" s="39" t="s">
        <v>156</v>
      </c>
      <c r="K40" s="39" t="s">
        <v>157</v>
      </c>
    </row>
    <row r="41" spans="2:11" x14ac:dyDescent="0.25">
      <c r="B41" s="5"/>
      <c r="C41" s="5"/>
      <c r="D41" s="78"/>
      <c r="E41" s="5"/>
      <c r="F41" s="5" t="s">
        <v>6</v>
      </c>
      <c r="G41" s="62">
        <f>G42</f>
        <v>168245.38996482844</v>
      </c>
      <c r="H41" s="62">
        <f>H42+H83</f>
        <v>231515.58000000002</v>
      </c>
      <c r="I41" s="62">
        <f t="shared" ref="I41" si="8">I42+I83</f>
        <v>185603.32</v>
      </c>
      <c r="J41" s="54">
        <f>I41/G41*100</f>
        <v>110.31703159224762</v>
      </c>
      <c r="K41" s="54">
        <f>I41/H41*100</f>
        <v>80.168824923143404</v>
      </c>
    </row>
    <row r="42" spans="2:11" x14ac:dyDescent="0.25">
      <c r="B42" s="5">
        <v>3</v>
      </c>
      <c r="C42" s="5"/>
      <c r="D42" s="78"/>
      <c r="E42" s="5"/>
      <c r="F42" s="5" t="s">
        <v>3</v>
      </c>
      <c r="G42" s="62">
        <f>G43+G50+G78</f>
        <v>168245.38996482844</v>
      </c>
      <c r="H42" s="62">
        <f t="shared" ref="H42:I42" si="9">H43+H50+H78</f>
        <v>225626.57</v>
      </c>
      <c r="I42" s="62">
        <f t="shared" si="9"/>
        <v>182349.45</v>
      </c>
      <c r="J42" s="54">
        <f t="shared" ref="J42:J87" si="10">I42/G42*100</f>
        <v>108.38302912080979</v>
      </c>
      <c r="K42" s="54">
        <f t="shared" ref="K42:K87" si="11">I42/H42*100</f>
        <v>80.819138455191691</v>
      </c>
    </row>
    <row r="43" spans="2:11" s="34" customFormat="1" x14ac:dyDescent="0.25">
      <c r="B43" s="5"/>
      <c r="C43" s="5">
        <v>31</v>
      </c>
      <c r="D43" s="78"/>
      <c r="E43" s="78"/>
      <c r="F43" s="5" t="s">
        <v>4</v>
      </c>
      <c r="G43" s="62">
        <f>G44+G48+G46</f>
        <v>132431.35718229477</v>
      </c>
      <c r="H43" s="62">
        <f>H44+H48+H46</f>
        <v>173768.41</v>
      </c>
      <c r="I43" s="62">
        <f t="shared" ref="I43" si="12">I44+I48+I46</f>
        <v>140157.66</v>
      </c>
      <c r="J43" s="54">
        <f t="shared" si="10"/>
        <v>105.83419439481376</v>
      </c>
      <c r="K43" s="54">
        <f t="shared" si="11"/>
        <v>80.657732898632148</v>
      </c>
    </row>
    <row r="44" spans="2:11" x14ac:dyDescent="0.25">
      <c r="B44" s="6"/>
      <c r="C44" s="6"/>
      <c r="D44" s="7">
        <v>311</v>
      </c>
      <c r="E44" s="7"/>
      <c r="F44" s="7" t="s">
        <v>18</v>
      </c>
      <c r="G44" s="53">
        <f>G45</f>
        <v>109808.6257468976</v>
      </c>
      <c r="H44" s="53">
        <f>H45</f>
        <v>141886.42000000001</v>
      </c>
      <c r="I44" s="53">
        <f t="shared" ref="I44" si="13">I45</f>
        <v>113853.68</v>
      </c>
      <c r="J44" s="54">
        <f t="shared" si="10"/>
        <v>103.68373087777823</v>
      </c>
      <c r="K44" s="54">
        <f t="shared" si="11"/>
        <v>80.242830850196924</v>
      </c>
    </row>
    <row r="45" spans="2:11" x14ac:dyDescent="0.25">
      <c r="B45" s="6"/>
      <c r="C45" s="6"/>
      <c r="D45" s="7"/>
      <c r="E45" s="7">
        <v>3111</v>
      </c>
      <c r="F45" s="7" t="s">
        <v>19</v>
      </c>
      <c r="G45" s="53">
        <f>827352.94/7.5345+0.02</f>
        <v>109808.6257468976</v>
      </c>
      <c r="H45" s="53">
        <f>133386.42+8500</f>
        <v>141886.42000000001</v>
      </c>
      <c r="I45" s="54">
        <f>91134.79+22718.89</f>
        <v>113853.68</v>
      </c>
      <c r="J45" s="54">
        <f t="shared" si="10"/>
        <v>103.68373087777823</v>
      </c>
      <c r="K45" s="54">
        <f t="shared" si="11"/>
        <v>80.242830850196924</v>
      </c>
    </row>
    <row r="46" spans="2:11" x14ac:dyDescent="0.25">
      <c r="B46" s="6"/>
      <c r="C46" s="6"/>
      <c r="D46" s="7">
        <v>312</v>
      </c>
      <c r="E46" s="7"/>
      <c r="F46" s="7" t="s">
        <v>116</v>
      </c>
      <c r="G46" s="53">
        <f>G47</f>
        <v>4504.280310571371</v>
      </c>
      <c r="H46" s="53">
        <f>H47</f>
        <v>8400</v>
      </c>
      <c r="I46" s="54">
        <f>I47</f>
        <v>7517.79</v>
      </c>
      <c r="J46" s="54">
        <f t="shared" si="10"/>
        <v>166.90324495027627</v>
      </c>
      <c r="K46" s="54">
        <f t="shared" si="11"/>
        <v>89.497500000000002</v>
      </c>
    </row>
    <row r="47" spans="2:11" x14ac:dyDescent="0.25">
      <c r="B47" s="6"/>
      <c r="C47" s="6"/>
      <c r="D47" s="7"/>
      <c r="E47" s="7">
        <v>3121</v>
      </c>
      <c r="F47" s="7" t="s">
        <v>116</v>
      </c>
      <c r="G47" s="53">
        <f>33937.5/7.5345</f>
        <v>4504.280310571371</v>
      </c>
      <c r="H47" s="53">
        <v>8400</v>
      </c>
      <c r="I47" s="54">
        <v>7517.79</v>
      </c>
      <c r="J47" s="54">
        <f t="shared" si="10"/>
        <v>166.90324495027627</v>
      </c>
      <c r="K47" s="54">
        <f t="shared" si="11"/>
        <v>89.497500000000002</v>
      </c>
    </row>
    <row r="48" spans="2:11" x14ac:dyDescent="0.25">
      <c r="B48" s="6"/>
      <c r="C48" s="6"/>
      <c r="D48" s="7">
        <v>313</v>
      </c>
      <c r="E48" s="7"/>
      <c r="F48" s="7" t="s">
        <v>68</v>
      </c>
      <c r="G48" s="53">
        <f>G49</f>
        <v>18118.451124825802</v>
      </c>
      <c r="H48" s="53">
        <f t="shared" ref="H48:I48" si="14">H49</f>
        <v>23481.99</v>
      </c>
      <c r="I48" s="53">
        <f t="shared" si="14"/>
        <v>18786.189999999999</v>
      </c>
      <c r="J48" s="54">
        <f t="shared" si="10"/>
        <v>103.68540815422828</v>
      </c>
      <c r="K48" s="54">
        <f t="shared" si="11"/>
        <v>80.002546632546895</v>
      </c>
    </row>
    <row r="49" spans="2:11" x14ac:dyDescent="0.25">
      <c r="B49" s="6"/>
      <c r="C49" s="6"/>
      <c r="D49" s="7"/>
      <c r="E49" s="7">
        <v>3132</v>
      </c>
      <c r="F49" s="7" t="s">
        <v>69</v>
      </c>
      <c r="G49" s="53">
        <f>136513.47/7.5345</f>
        <v>18118.451124825802</v>
      </c>
      <c r="H49" s="53">
        <f>22031.99+1450</f>
        <v>23481.99</v>
      </c>
      <c r="I49" s="54">
        <v>18786.189999999999</v>
      </c>
      <c r="J49" s="54">
        <f t="shared" si="10"/>
        <v>103.68540815422828</v>
      </c>
      <c r="K49" s="54">
        <f t="shared" si="11"/>
        <v>80.002546632546895</v>
      </c>
    </row>
    <row r="50" spans="2:11" x14ac:dyDescent="0.25">
      <c r="B50" s="6"/>
      <c r="C50" s="21">
        <v>32</v>
      </c>
      <c r="D50" s="32"/>
      <c r="E50" s="32"/>
      <c r="F50" s="64" t="s">
        <v>11</v>
      </c>
      <c r="G50" s="62">
        <f>G51+G56+G63+G72</f>
        <v>35007.009091512373</v>
      </c>
      <c r="H50" s="62">
        <f t="shared" ref="H50:I50" si="15">H51+H56+H63+H72</f>
        <v>50929.100000000006</v>
      </c>
      <c r="I50" s="62">
        <f t="shared" si="15"/>
        <v>41405.51</v>
      </c>
      <c r="J50" s="54">
        <f t="shared" si="10"/>
        <v>118.27777086514648</v>
      </c>
      <c r="K50" s="54">
        <f t="shared" si="11"/>
        <v>81.300297865071229</v>
      </c>
    </row>
    <row r="51" spans="2:11" x14ac:dyDescent="0.25">
      <c r="B51" s="6"/>
      <c r="C51" s="21"/>
      <c r="D51" s="7">
        <v>321</v>
      </c>
      <c r="E51" s="7"/>
      <c r="F51" s="7" t="s">
        <v>20</v>
      </c>
      <c r="G51" s="53">
        <f>G53+G54+G55</f>
        <v>6735.5060057070805</v>
      </c>
      <c r="H51" s="53">
        <f>H53+H54+H55+H52</f>
        <v>9690.6</v>
      </c>
      <c r="I51" s="53">
        <f t="shared" ref="I51" si="16">I53+I54+I55+I52</f>
        <v>7165.19</v>
      </c>
      <c r="J51" s="54">
        <f t="shared" si="10"/>
        <v>106.37938699674297</v>
      </c>
      <c r="K51" s="54">
        <f t="shared" si="11"/>
        <v>73.939590943801207</v>
      </c>
    </row>
    <row r="52" spans="2:11" x14ac:dyDescent="0.25">
      <c r="B52" s="6"/>
      <c r="C52" s="21"/>
      <c r="D52" s="7"/>
      <c r="E52" s="7">
        <v>3211</v>
      </c>
      <c r="F52" s="7" t="s">
        <v>117</v>
      </c>
      <c r="G52" s="53"/>
      <c r="H52" s="53">
        <v>132.72</v>
      </c>
      <c r="I52" s="53">
        <v>76.48</v>
      </c>
      <c r="J52" s="54"/>
      <c r="K52" s="54">
        <f t="shared" si="11"/>
        <v>57.625075346594336</v>
      </c>
    </row>
    <row r="53" spans="2:11" x14ac:dyDescent="0.25">
      <c r="B53" s="6"/>
      <c r="C53" s="6"/>
      <c r="D53" s="7"/>
      <c r="E53" s="7">
        <v>3212</v>
      </c>
      <c r="F53" s="7" t="s">
        <v>71</v>
      </c>
      <c r="G53" s="53">
        <f>47039.97/7.5345</f>
        <v>6243.2769261397571</v>
      </c>
      <c r="H53" s="53">
        <v>8761.5400000000009</v>
      </c>
      <c r="I53" s="54">
        <v>6658.63</v>
      </c>
      <c r="J53" s="54">
        <f t="shared" si="10"/>
        <v>106.65280555025865</v>
      </c>
      <c r="K53" s="54">
        <f t="shared" si="11"/>
        <v>75.998397541984616</v>
      </c>
    </row>
    <row r="54" spans="2:11" x14ac:dyDescent="0.25">
      <c r="B54" s="6"/>
      <c r="C54" s="6"/>
      <c r="D54" s="7"/>
      <c r="E54" s="7">
        <v>3213</v>
      </c>
      <c r="F54" s="7" t="s">
        <v>72</v>
      </c>
      <c r="G54" s="53">
        <f>750/7.5345</f>
        <v>99.54210631096953</v>
      </c>
      <c r="H54" s="53">
        <v>398.17</v>
      </c>
      <c r="I54" s="54">
        <v>292.39999999999998</v>
      </c>
      <c r="J54" s="54">
        <f t="shared" si="10"/>
        <v>293.74504000000002</v>
      </c>
      <c r="K54" s="54">
        <f t="shared" si="11"/>
        <v>73.435969560740375</v>
      </c>
    </row>
    <row r="55" spans="2:11" ht="25.5" x14ac:dyDescent="0.25">
      <c r="B55" s="6"/>
      <c r="C55" s="6"/>
      <c r="D55" s="7"/>
      <c r="E55" s="7">
        <v>3214</v>
      </c>
      <c r="F55" s="11" t="s">
        <v>70</v>
      </c>
      <c r="G55" s="53">
        <f>2958.7/7.5345</f>
        <v>392.68697325635407</v>
      </c>
      <c r="H55" s="53">
        <v>398.17</v>
      </c>
      <c r="I55" s="54">
        <v>137.68</v>
      </c>
      <c r="J55" s="54">
        <f t="shared" si="10"/>
        <v>35.061005171190054</v>
      </c>
      <c r="K55" s="54">
        <f t="shared" si="11"/>
        <v>34.578195243237815</v>
      </c>
    </row>
    <row r="56" spans="2:11" x14ac:dyDescent="0.25">
      <c r="B56" s="6"/>
      <c r="C56" s="6"/>
      <c r="D56" s="7">
        <v>322</v>
      </c>
      <c r="E56" s="7"/>
      <c r="F56" s="7" t="s">
        <v>73</v>
      </c>
      <c r="G56" s="53">
        <f>G57+G58+G59+G60+G61</f>
        <v>19958.102063839666</v>
      </c>
      <c r="H56" s="53">
        <f>H57+H58+H59+H60+H61+H62</f>
        <v>29289.56</v>
      </c>
      <c r="I56" s="53">
        <f t="shared" ref="I56" si="17">I57+I58+I59+I60+I61+I62</f>
        <v>24661.43</v>
      </c>
      <c r="J56" s="54">
        <f t="shared" si="10"/>
        <v>123.5660080358136</v>
      </c>
      <c r="K56" s="54">
        <f t="shared" si="11"/>
        <v>84.198704248203114</v>
      </c>
    </row>
    <row r="57" spans="2:11" x14ac:dyDescent="0.25">
      <c r="B57" s="6"/>
      <c r="C57" s="6"/>
      <c r="D57" s="7"/>
      <c r="E57" s="7">
        <v>3221</v>
      </c>
      <c r="F57" s="7" t="s">
        <v>74</v>
      </c>
      <c r="G57" s="53">
        <f>21667.52/7.5345</f>
        <v>2875.7741057800781</v>
      </c>
      <c r="H57" s="53">
        <v>2654.46</v>
      </c>
      <c r="I57" s="54">
        <v>3501.59</v>
      </c>
      <c r="J57" s="54">
        <f t="shared" si="10"/>
        <v>121.76164994886356</v>
      </c>
      <c r="K57" s="54">
        <f t="shared" si="11"/>
        <v>131.91345885792214</v>
      </c>
    </row>
    <row r="58" spans="2:11" x14ac:dyDescent="0.25">
      <c r="B58" s="6"/>
      <c r="C58" s="6"/>
      <c r="D58" s="7"/>
      <c r="E58" s="7">
        <v>3222</v>
      </c>
      <c r="F58" s="7" t="s">
        <v>75</v>
      </c>
      <c r="G58" s="53">
        <f>69471.46/7.5345</f>
        <v>9220.4472758643569</v>
      </c>
      <c r="H58" s="53">
        <v>13000</v>
      </c>
      <c r="I58" s="54">
        <v>13422.66</v>
      </c>
      <c r="J58" s="54">
        <f t="shared" si="10"/>
        <v>145.57493360582893</v>
      </c>
      <c r="K58" s="54">
        <f t="shared" si="11"/>
        <v>103.25123076923077</v>
      </c>
    </row>
    <row r="59" spans="2:11" x14ac:dyDescent="0.25">
      <c r="B59" s="6"/>
      <c r="C59" s="6"/>
      <c r="D59" s="7"/>
      <c r="E59" s="7">
        <v>3223</v>
      </c>
      <c r="F59" s="7" t="s">
        <v>76</v>
      </c>
      <c r="G59" s="53">
        <f>43090.88/7.5345</f>
        <v>5719.1426106576409</v>
      </c>
      <c r="H59" s="53">
        <v>8361.5400000000009</v>
      </c>
      <c r="I59" s="54">
        <v>6677.21</v>
      </c>
      <c r="J59" s="54">
        <f t="shared" si="10"/>
        <v>116.75194088633141</v>
      </c>
      <c r="K59" s="54">
        <f t="shared" si="11"/>
        <v>79.856222657548727</v>
      </c>
    </row>
    <row r="60" spans="2:11" x14ac:dyDescent="0.25">
      <c r="B60" s="6"/>
      <c r="C60" s="6"/>
      <c r="D60" s="7"/>
      <c r="E60" s="7">
        <v>3224</v>
      </c>
      <c r="F60" s="7" t="s">
        <v>77</v>
      </c>
      <c r="G60" s="53">
        <f>2776.74/7.5345</f>
        <v>368.53673103722872</v>
      </c>
      <c r="H60" s="53">
        <v>929.06</v>
      </c>
      <c r="I60" s="54">
        <v>494.59</v>
      </c>
      <c r="J60" s="54">
        <f t="shared" si="10"/>
        <v>134.20371928952656</v>
      </c>
      <c r="K60" s="54">
        <f t="shared" si="11"/>
        <v>53.235528383527445</v>
      </c>
    </row>
    <row r="61" spans="2:11" x14ac:dyDescent="0.25">
      <c r="B61" s="6"/>
      <c r="C61" s="6"/>
      <c r="D61" s="7"/>
      <c r="E61" s="7">
        <v>3225</v>
      </c>
      <c r="F61" s="7" t="s">
        <v>78</v>
      </c>
      <c r="G61" s="53">
        <f>13367.72/7.5345</f>
        <v>1774.2013405003647</v>
      </c>
      <c r="H61" s="53">
        <v>3000</v>
      </c>
      <c r="I61" s="54">
        <v>565.38</v>
      </c>
      <c r="J61" s="54">
        <f t="shared" si="10"/>
        <v>31.86673277118312</v>
      </c>
      <c r="K61" s="54">
        <f t="shared" si="11"/>
        <v>18.846</v>
      </c>
    </row>
    <row r="62" spans="2:11" x14ac:dyDescent="0.25">
      <c r="B62" s="6"/>
      <c r="C62" s="6"/>
      <c r="D62" s="7"/>
      <c r="E62" s="7">
        <v>3227</v>
      </c>
      <c r="F62" s="7" t="s">
        <v>118</v>
      </c>
      <c r="G62" s="53"/>
      <c r="H62" s="53">
        <v>1344.5</v>
      </c>
      <c r="I62" s="54"/>
      <c r="J62" s="54"/>
      <c r="K62" s="54">
        <f t="shared" si="11"/>
        <v>0</v>
      </c>
    </row>
    <row r="63" spans="2:11" x14ac:dyDescent="0.25">
      <c r="B63" s="6"/>
      <c r="C63" s="6"/>
      <c r="D63" s="7">
        <v>323</v>
      </c>
      <c r="E63" s="7"/>
      <c r="F63" s="7" t="s">
        <v>79</v>
      </c>
      <c r="G63" s="53">
        <f>G64+G65+G67+G68+G69+G70+G66</f>
        <v>6263.0765146990507</v>
      </c>
      <c r="H63" s="53">
        <f>H64+H65+H67+H68+H69+H70+H71+H66</f>
        <v>6949.42</v>
      </c>
      <c r="I63" s="53">
        <f t="shared" ref="I63" si="18">I64+I65+I67+I68+I69+I70+I71+I66</f>
        <v>6327.0300000000007</v>
      </c>
      <c r="J63" s="54">
        <f t="shared" si="10"/>
        <v>101.02111933569478</v>
      </c>
      <c r="K63" s="54">
        <f t="shared" si="11"/>
        <v>91.044000794310904</v>
      </c>
    </row>
    <row r="64" spans="2:11" x14ac:dyDescent="0.25">
      <c r="B64" s="6"/>
      <c r="C64" s="6"/>
      <c r="D64" s="7"/>
      <c r="E64" s="7">
        <v>3231</v>
      </c>
      <c r="F64" s="7" t="s">
        <v>80</v>
      </c>
      <c r="G64" s="53">
        <f>3248.05/7.5345</f>
        <v>431.09031787112616</v>
      </c>
      <c r="H64" s="53">
        <v>477.81</v>
      </c>
      <c r="I64" s="54">
        <v>453.65</v>
      </c>
      <c r="J64" s="54">
        <f t="shared" si="10"/>
        <v>105.23316836255599</v>
      </c>
      <c r="K64" s="54">
        <f t="shared" si="11"/>
        <v>94.943596827190717</v>
      </c>
    </row>
    <row r="65" spans="2:11" x14ac:dyDescent="0.25">
      <c r="B65" s="6"/>
      <c r="C65" s="6"/>
      <c r="D65" s="7"/>
      <c r="E65" s="7">
        <v>3232</v>
      </c>
      <c r="F65" s="7" t="s">
        <v>81</v>
      </c>
      <c r="G65" s="53">
        <f>4838.75/7.5345</f>
        <v>642.21248921627182</v>
      </c>
      <c r="H65" s="53">
        <v>1061.78</v>
      </c>
      <c r="I65" s="54">
        <v>1034.04</v>
      </c>
      <c r="J65" s="54">
        <f t="shared" si="10"/>
        <v>161.0121287522604</v>
      </c>
      <c r="K65" s="54">
        <f t="shared" si="11"/>
        <v>97.387406053984819</v>
      </c>
    </row>
    <row r="66" spans="2:11" x14ac:dyDescent="0.25">
      <c r="B66" s="6"/>
      <c r="C66" s="6"/>
      <c r="D66" s="7"/>
      <c r="E66" s="7">
        <v>3233</v>
      </c>
      <c r="F66" s="7" t="s">
        <v>200</v>
      </c>
      <c r="G66" s="53">
        <f>4416/7.5345</f>
        <v>586.10392195898862</v>
      </c>
      <c r="H66" s="53"/>
      <c r="I66" s="54"/>
      <c r="J66" s="54"/>
      <c r="K66" s="54"/>
    </row>
    <row r="67" spans="2:11" x14ac:dyDescent="0.25">
      <c r="B67" s="6"/>
      <c r="C67" s="6"/>
      <c r="D67" s="7"/>
      <c r="E67" s="7">
        <v>3234</v>
      </c>
      <c r="F67" s="7" t="s">
        <v>82</v>
      </c>
      <c r="G67" s="53">
        <f>18711.38/7.5345</f>
        <v>2483.4269029132656</v>
      </c>
      <c r="H67" s="53">
        <v>2954.46</v>
      </c>
      <c r="I67" s="54">
        <v>2548.0300000000002</v>
      </c>
      <c r="J67" s="54">
        <f t="shared" si="10"/>
        <v>102.60136897973319</v>
      </c>
      <c r="K67" s="54">
        <f t="shared" si="11"/>
        <v>86.243509812283804</v>
      </c>
    </row>
    <row r="68" spans="2:11" x14ac:dyDescent="0.25">
      <c r="B68" s="6"/>
      <c r="C68" s="6"/>
      <c r="D68" s="7"/>
      <c r="E68" s="7">
        <v>3236</v>
      </c>
      <c r="F68" s="7" t="s">
        <v>83</v>
      </c>
      <c r="G68" s="53">
        <f>9146.22/7.5345</f>
        <v>1213.9120047780209</v>
      </c>
      <c r="H68" s="53">
        <v>1194.51</v>
      </c>
      <c r="I68" s="54">
        <v>1045.8</v>
      </c>
      <c r="J68" s="54">
        <f t="shared" si="10"/>
        <v>86.151219848199588</v>
      </c>
      <c r="K68" s="54">
        <f t="shared" si="11"/>
        <v>87.550543737599511</v>
      </c>
    </row>
    <row r="69" spans="2:11" x14ac:dyDescent="0.25">
      <c r="B69" s="6"/>
      <c r="C69" s="6"/>
      <c r="D69" s="7"/>
      <c r="E69" s="7">
        <v>3237</v>
      </c>
      <c r="F69" s="7" t="s">
        <v>84</v>
      </c>
      <c r="G69" s="53">
        <f>3078.75/7.5345</f>
        <v>408.62034640652996</v>
      </c>
      <c r="H69" s="53">
        <v>530.89</v>
      </c>
      <c r="I69" s="54">
        <v>648</v>
      </c>
      <c r="J69" s="54">
        <f t="shared" si="10"/>
        <v>158.58241169305725</v>
      </c>
      <c r="K69" s="54">
        <f t="shared" si="11"/>
        <v>122.05918363502796</v>
      </c>
    </row>
    <row r="70" spans="2:11" x14ac:dyDescent="0.25">
      <c r="B70" s="6"/>
      <c r="C70" s="6"/>
      <c r="D70" s="7"/>
      <c r="E70" s="7">
        <v>3238</v>
      </c>
      <c r="F70" s="7" t="s">
        <v>85</v>
      </c>
      <c r="G70" s="53">
        <f>3750/7.5345</f>
        <v>497.71053155484765</v>
      </c>
      <c r="H70" s="53">
        <v>663.61</v>
      </c>
      <c r="I70" s="54">
        <v>597.51</v>
      </c>
      <c r="J70" s="54">
        <f t="shared" si="10"/>
        <v>120.0517092</v>
      </c>
      <c r="K70" s="54">
        <f t="shared" si="11"/>
        <v>90.039330329561025</v>
      </c>
    </row>
    <row r="71" spans="2:11" x14ac:dyDescent="0.25">
      <c r="B71" s="6"/>
      <c r="C71" s="6"/>
      <c r="D71" s="7"/>
      <c r="E71" s="7">
        <v>3239</v>
      </c>
      <c r="F71" s="7" t="s">
        <v>119</v>
      </c>
      <c r="G71" s="53"/>
      <c r="H71" s="53">
        <v>66.36</v>
      </c>
      <c r="I71" s="54"/>
      <c r="J71" s="54"/>
      <c r="K71" s="54">
        <f t="shared" si="11"/>
        <v>0</v>
      </c>
    </row>
    <row r="72" spans="2:11" x14ac:dyDescent="0.25">
      <c r="B72" s="6"/>
      <c r="C72" s="6"/>
      <c r="D72" s="7">
        <v>329</v>
      </c>
      <c r="E72" s="7"/>
      <c r="F72" s="7" t="s">
        <v>86</v>
      </c>
      <c r="G72" s="53">
        <f>G73+G74+G76+G75</f>
        <v>2050.3245072665741</v>
      </c>
      <c r="H72" s="53">
        <f>H73+H74+H76+H75+H77</f>
        <v>4999.5200000000004</v>
      </c>
      <c r="I72" s="53">
        <f t="shared" ref="I72" si="19">I73+I74+I76+I75+I77</f>
        <v>3251.86</v>
      </c>
      <c r="J72" s="54">
        <f t="shared" si="10"/>
        <v>158.60221094149014</v>
      </c>
      <c r="K72" s="54">
        <f t="shared" si="11"/>
        <v>65.04344417064037</v>
      </c>
    </row>
    <row r="73" spans="2:11" x14ac:dyDescent="0.25">
      <c r="B73" s="6"/>
      <c r="C73" s="6"/>
      <c r="D73" s="7"/>
      <c r="E73" s="7">
        <v>3291</v>
      </c>
      <c r="F73" s="7" t="s">
        <v>87</v>
      </c>
      <c r="G73" s="53">
        <f>13706.28/7.5345</f>
        <v>1819.1359745172208</v>
      </c>
      <c r="H73" s="53">
        <v>2521.73</v>
      </c>
      <c r="I73" s="54">
        <v>1676.98</v>
      </c>
      <c r="J73" s="54">
        <f t="shared" si="10"/>
        <v>92.185522329910086</v>
      </c>
      <c r="K73" s="54">
        <f t="shared" si="11"/>
        <v>66.501171814587607</v>
      </c>
    </row>
    <row r="74" spans="2:11" x14ac:dyDescent="0.25">
      <c r="B74" s="6"/>
      <c r="C74" s="6"/>
      <c r="D74" s="7"/>
      <c r="E74" s="7">
        <v>3293</v>
      </c>
      <c r="F74" s="7" t="s">
        <v>88</v>
      </c>
      <c r="G74" s="53">
        <f>681.89/7.5345</f>
        <v>90.50235582984935</v>
      </c>
      <c r="H74" s="53">
        <v>2132.7199999999998</v>
      </c>
      <c r="I74" s="54">
        <v>1434.17</v>
      </c>
      <c r="J74" s="54">
        <f t="shared" si="10"/>
        <v>1584.6769808913464</v>
      </c>
      <c r="K74" s="54">
        <f t="shared" si="11"/>
        <v>67.246051989947119</v>
      </c>
    </row>
    <row r="75" spans="2:11" x14ac:dyDescent="0.25">
      <c r="B75" s="6"/>
      <c r="C75" s="6"/>
      <c r="D75" s="7"/>
      <c r="E75" s="7">
        <v>3294</v>
      </c>
      <c r="F75" s="7" t="s">
        <v>120</v>
      </c>
      <c r="G75" s="53">
        <f>100/7.5345</f>
        <v>13.272280841462605</v>
      </c>
      <c r="H75" s="53">
        <v>13.27</v>
      </c>
      <c r="I75" s="54">
        <v>13.27</v>
      </c>
      <c r="J75" s="54">
        <f t="shared" si="10"/>
        <v>99.982815000000002</v>
      </c>
      <c r="K75" s="54">
        <f t="shared" si="11"/>
        <v>100</v>
      </c>
    </row>
    <row r="76" spans="2:11" x14ac:dyDescent="0.25">
      <c r="B76" s="6"/>
      <c r="C76" s="6"/>
      <c r="D76" s="7"/>
      <c r="E76" s="7">
        <v>3295</v>
      </c>
      <c r="F76" s="7" t="s">
        <v>89</v>
      </c>
      <c r="G76" s="53">
        <f>960/7.5345</f>
        <v>127.41389607804101</v>
      </c>
      <c r="H76" s="53">
        <v>132.72</v>
      </c>
      <c r="I76" s="54">
        <v>127.44</v>
      </c>
      <c r="J76" s="54">
        <f t="shared" si="10"/>
        <v>100.02048750000002</v>
      </c>
      <c r="K76" s="54">
        <f t="shared" si="11"/>
        <v>96.021699819168177</v>
      </c>
    </row>
    <row r="77" spans="2:11" x14ac:dyDescent="0.25">
      <c r="B77" s="6"/>
      <c r="C77" s="6"/>
      <c r="D77" s="7"/>
      <c r="E77" s="7">
        <v>3299</v>
      </c>
      <c r="F77" s="7" t="s">
        <v>86</v>
      </c>
      <c r="G77" s="53"/>
      <c r="H77" s="53">
        <v>199.08</v>
      </c>
      <c r="I77" s="54"/>
      <c r="J77" s="54"/>
      <c r="K77" s="54">
        <f t="shared" si="11"/>
        <v>0</v>
      </c>
    </row>
    <row r="78" spans="2:11" s="34" customFormat="1" x14ac:dyDescent="0.25">
      <c r="B78" s="5"/>
      <c r="C78" s="5">
        <v>34</v>
      </c>
      <c r="D78" s="32"/>
      <c r="E78" s="32"/>
      <c r="F78" s="21" t="s">
        <v>90</v>
      </c>
      <c r="G78" s="62">
        <f>G79</f>
        <v>807.02369102130206</v>
      </c>
      <c r="H78" s="62">
        <f t="shared" ref="H78:I78" si="20">H79</f>
        <v>929.06000000000006</v>
      </c>
      <c r="I78" s="62">
        <f t="shared" si="20"/>
        <v>786.28</v>
      </c>
      <c r="J78" s="54">
        <f t="shared" si="10"/>
        <v>97.429605691618477</v>
      </c>
      <c r="K78" s="54">
        <f t="shared" si="11"/>
        <v>84.631778356618511</v>
      </c>
    </row>
    <row r="79" spans="2:11" x14ac:dyDescent="0.25">
      <c r="B79" s="9"/>
      <c r="C79" s="9"/>
      <c r="D79" s="7">
        <v>343</v>
      </c>
      <c r="E79" s="7"/>
      <c r="F79" s="7" t="s">
        <v>91</v>
      </c>
      <c r="G79" s="53">
        <f>G80+G81+G82</f>
        <v>807.02369102130206</v>
      </c>
      <c r="H79" s="53">
        <f t="shared" ref="H79:I79" si="21">H80+H81+H82</f>
        <v>929.06000000000006</v>
      </c>
      <c r="I79" s="53">
        <f t="shared" si="21"/>
        <v>786.28</v>
      </c>
      <c r="J79" s="54">
        <f t="shared" si="10"/>
        <v>97.429605691618477</v>
      </c>
      <c r="K79" s="54">
        <f t="shared" si="11"/>
        <v>84.631778356618511</v>
      </c>
    </row>
    <row r="80" spans="2:11" x14ac:dyDescent="0.25">
      <c r="B80" s="9"/>
      <c r="C80" s="9"/>
      <c r="D80" s="7"/>
      <c r="E80" s="7">
        <v>3431</v>
      </c>
      <c r="F80" s="7" t="s">
        <v>92</v>
      </c>
      <c r="G80" s="53">
        <f>5680.37/7.5345</f>
        <v>753.91465923418934</v>
      </c>
      <c r="H80" s="53">
        <v>862.7</v>
      </c>
      <c r="I80" s="54">
        <v>773.27</v>
      </c>
      <c r="J80" s="54">
        <f t="shared" si="10"/>
        <v>102.5673119004572</v>
      </c>
      <c r="K80" s="54">
        <f t="shared" si="11"/>
        <v>89.633708125652007</v>
      </c>
    </row>
    <row r="81" spans="2:11" x14ac:dyDescent="0.25">
      <c r="B81" s="9"/>
      <c r="C81" s="9"/>
      <c r="D81" s="7"/>
      <c r="E81" s="7">
        <v>3433</v>
      </c>
      <c r="F81" s="7" t="s">
        <v>93</v>
      </c>
      <c r="G81" s="53">
        <f>0.15/7.5345</f>
        <v>1.9908421262193905E-2</v>
      </c>
      <c r="H81" s="53">
        <v>26.54</v>
      </c>
      <c r="I81" s="54">
        <v>13.01</v>
      </c>
      <c r="J81" s="54">
        <f t="shared" si="10"/>
        <v>65349.23000000001</v>
      </c>
      <c r="K81" s="54">
        <f t="shared" si="11"/>
        <v>49.02034664657122</v>
      </c>
    </row>
    <row r="82" spans="2:11" x14ac:dyDescent="0.25">
      <c r="B82" s="9"/>
      <c r="C82" s="9"/>
      <c r="D82" s="7"/>
      <c r="E82" s="7">
        <v>3434</v>
      </c>
      <c r="F82" s="7" t="s">
        <v>94</v>
      </c>
      <c r="G82" s="53">
        <f>400/7.5345</f>
        <v>53.089123365850419</v>
      </c>
      <c r="H82" s="53">
        <v>39.82</v>
      </c>
      <c r="I82" s="54"/>
      <c r="J82" s="54">
        <f t="shared" si="10"/>
        <v>0</v>
      </c>
      <c r="K82" s="54">
        <f t="shared" si="11"/>
        <v>0</v>
      </c>
    </row>
    <row r="83" spans="2:11" s="73" customFormat="1" x14ac:dyDescent="0.25">
      <c r="B83" s="74">
        <v>4</v>
      </c>
      <c r="C83" s="74"/>
      <c r="D83" s="80"/>
      <c r="E83" s="80"/>
      <c r="F83" s="8" t="s">
        <v>112</v>
      </c>
      <c r="G83" s="74"/>
      <c r="H83" s="84">
        <f>H84</f>
        <v>5889.01</v>
      </c>
      <c r="I83" s="84">
        <f t="shared" ref="I83" si="22">I84</f>
        <v>3253.87</v>
      </c>
      <c r="J83" s="54"/>
      <c r="K83" s="54">
        <f t="shared" si="11"/>
        <v>55.253259885787251</v>
      </c>
    </row>
    <row r="84" spans="2:11" s="73" customFormat="1" ht="25.5" x14ac:dyDescent="0.25">
      <c r="B84" s="74"/>
      <c r="C84" s="74">
        <v>42</v>
      </c>
      <c r="D84" s="80"/>
      <c r="E84" s="80"/>
      <c r="F84" s="5" t="s">
        <v>111</v>
      </c>
      <c r="G84" s="84">
        <f>G85</f>
        <v>4396.7668723870192</v>
      </c>
      <c r="H84" s="84">
        <f>H85</f>
        <v>5889.01</v>
      </c>
      <c r="I84" s="84">
        <f t="shared" ref="I84" si="23">I85</f>
        <v>3253.87</v>
      </c>
      <c r="J84" s="54">
        <f t="shared" si="10"/>
        <v>74.0059706243525</v>
      </c>
      <c r="K84" s="54">
        <f t="shared" si="11"/>
        <v>55.253259885787251</v>
      </c>
    </row>
    <row r="85" spans="2:11" s="72" customFormat="1" x14ac:dyDescent="0.25">
      <c r="B85" s="75"/>
      <c r="C85" s="75"/>
      <c r="D85" s="76">
        <v>422</v>
      </c>
      <c r="E85" s="76"/>
      <c r="F85" s="76" t="s">
        <v>113</v>
      </c>
      <c r="G85" s="85">
        <f>G86+G87</f>
        <v>4396.7668723870192</v>
      </c>
      <c r="H85" s="85">
        <f>H86+H87</f>
        <v>5889.01</v>
      </c>
      <c r="I85" s="85">
        <f t="shared" ref="I85" si="24">I86+I87</f>
        <v>3253.87</v>
      </c>
      <c r="J85" s="54">
        <f t="shared" si="10"/>
        <v>74.0059706243525</v>
      </c>
      <c r="K85" s="54">
        <f t="shared" si="11"/>
        <v>55.253259885787251</v>
      </c>
    </row>
    <row r="86" spans="2:11" s="72" customFormat="1" x14ac:dyDescent="0.25">
      <c r="B86" s="75"/>
      <c r="C86" s="75"/>
      <c r="D86" s="76"/>
      <c r="E86" s="76">
        <v>4221</v>
      </c>
      <c r="F86" s="76" t="s">
        <v>114</v>
      </c>
      <c r="G86" s="85">
        <f>24390.94/7.5345</f>
        <v>3237.2340566726389</v>
      </c>
      <c r="H86" s="85">
        <v>4429.0600000000004</v>
      </c>
      <c r="I86" s="85">
        <v>1608.75</v>
      </c>
      <c r="J86" s="54">
        <f t="shared" si="10"/>
        <v>49.69520188643817</v>
      </c>
      <c r="K86" s="54">
        <f t="shared" si="11"/>
        <v>36.322605699629264</v>
      </c>
    </row>
    <row r="87" spans="2:11" s="72" customFormat="1" x14ac:dyDescent="0.25">
      <c r="B87" s="75"/>
      <c r="C87" s="75"/>
      <c r="D87" s="76"/>
      <c r="E87" s="76">
        <v>4227</v>
      </c>
      <c r="F87" s="76" t="s">
        <v>115</v>
      </c>
      <c r="G87" s="85">
        <f>8736.5/7.5345</f>
        <v>1159.5328157143804</v>
      </c>
      <c r="H87" s="85">
        <v>1459.95</v>
      </c>
      <c r="I87" s="85">
        <v>1645.12</v>
      </c>
      <c r="J87" s="54">
        <f t="shared" si="10"/>
        <v>141.8778302523894</v>
      </c>
      <c r="K87" s="54">
        <f t="shared" si="11"/>
        <v>112.68331107229699</v>
      </c>
    </row>
    <row r="88" spans="2:11" s="72" customFormat="1" ht="12.75" x14ac:dyDescent="0.2">
      <c r="D88" s="81"/>
      <c r="E88" s="81"/>
    </row>
  </sheetData>
  <mergeCells count="13">
    <mergeCell ref="B10:F10"/>
    <mergeCell ref="B11:F11"/>
    <mergeCell ref="B39:F39"/>
    <mergeCell ref="B40:F40"/>
    <mergeCell ref="B2:K2"/>
    <mergeCell ref="B6:K6"/>
    <mergeCell ref="B8:K8"/>
    <mergeCell ref="B4:K4"/>
    <mergeCell ref="G23:G24"/>
    <mergeCell ref="H23:H24"/>
    <mergeCell ref="I23:I24"/>
    <mergeCell ref="J23:J24"/>
    <mergeCell ref="K23:K24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28"/>
  <sheetViews>
    <sheetView workbookViewId="0">
      <selection activeCell="E10" sqref="E10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x14ac:dyDescent="0.25">
      <c r="B2" s="158" t="s">
        <v>158</v>
      </c>
      <c r="C2" s="158"/>
      <c r="D2" s="158"/>
      <c r="E2" s="158"/>
      <c r="F2" s="158"/>
      <c r="G2" s="158"/>
    </row>
    <row r="3" spans="2:7" ht="18" x14ac:dyDescent="0.25">
      <c r="B3" s="2"/>
      <c r="C3" s="2"/>
      <c r="D3" s="2"/>
      <c r="E3" s="3"/>
      <c r="F3" s="3"/>
      <c r="G3" s="3"/>
    </row>
    <row r="4" spans="2:7" ht="15.75" customHeight="1" x14ac:dyDescent="0.25">
      <c r="B4" s="142" t="s">
        <v>25</v>
      </c>
      <c r="C4" s="142"/>
      <c r="D4" s="142"/>
      <c r="E4" s="142"/>
      <c r="F4" s="142"/>
      <c r="G4" s="142"/>
    </row>
    <row r="5" spans="2:7" ht="18" x14ac:dyDescent="0.25">
      <c r="B5" s="2"/>
      <c r="C5" s="2"/>
      <c r="D5" s="2"/>
      <c r="E5" s="3"/>
      <c r="F5" s="3"/>
      <c r="G5" s="3"/>
    </row>
    <row r="6" spans="2:7" ht="25.5" x14ac:dyDescent="0.25">
      <c r="B6" s="39" t="s">
        <v>5</v>
      </c>
      <c r="C6" s="126" t="s">
        <v>197</v>
      </c>
      <c r="D6" s="39" t="s">
        <v>196</v>
      </c>
      <c r="E6" s="126" t="s">
        <v>198</v>
      </c>
      <c r="F6" s="39" t="s">
        <v>14</v>
      </c>
      <c r="G6" s="39" t="s">
        <v>35</v>
      </c>
    </row>
    <row r="7" spans="2:7" x14ac:dyDescent="0.25">
      <c r="B7" s="39">
        <v>1</v>
      </c>
      <c r="C7" s="39">
        <v>2</v>
      </c>
      <c r="D7" s="39">
        <v>3</v>
      </c>
      <c r="E7" s="39">
        <v>4</v>
      </c>
      <c r="F7" s="39" t="s">
        <v>156</v>
      </c>
      <c r="G7" s="39" t="s">
        <v>157</v>
      </c>
    </row>
    <row r="8" spans="2:7" x14ac:dyDescent="0.25">
      <c r="B8" s="5" t="s">
        <v>24</v>
      </c>
      <c r="C8" s="62">
        <f>C9+C12+C15</f>
        <v>182775.64271019978</v>
      </c>
      <c r="D8" s="62">
        <f>D9+D12+D15</f>
        <v>231515.58000000002</v>
      </c>
      <c r="E8" s="62">
        <f t="shared" ref="E8" si="0">E9+E12+E15</f>
        <v>174133.59999999998</v>
      </c>
      <c r="F8" s="54">
        <f>E8/C8*100</f>
        <v>95.271775504626603</v>
      </c>
      <c r="G8" s="54">
        <f>E8/D8*100</f>
        <v>75.214635662964866</v>
      </c>
    </row>
    <row r="9" spans="2:7" x14ac:dyDescent="0.25">
      <c r="B9" s="5" t="s">
        <v>22</v>
      </c>
      <c r="C9" s="62">
        <f>C10</f>
        <v>162067.56652730773</v>
      </c>
      <c r="D9" s="62">
        <f>D10</f>
        <v>209350.87</v>
      </c>
      <c r="E9" s="62">
        <f t="shared" ref="E9" si="1">E10</f>
        <v>152694.04999999999</v>
      </c>
      <c r="F9" s="54">
        <f t="shared" ref="F9:F26" si="2">E9/C9*100</f>
        <v>94.216290940773547</v>
      </c>
      <c r="G9" s="54">
        <f t="shared" ref="G9:G26" si="3">E9/D9*100</f>
        <v>72.936907307812945</v>
      </c>
    </row>
    <row r="10" spans="2:7" x14ac:dyDescent="0.25">
      <c r="B10" s="30" t="s">
        <v>95</v>
      </c>
      <c r="C10" s="53">
        <f>1221098.08/7.5345</f>
        <v>162067.56652730773</v>
      </c>
      <c r="D10" s="53">
        <f>203493+5857.87</f>
        <v>209350.87</v>
      </c>
      <c r="E10" s="54">
        <f>9.75+3253.87+149430.43</f>
        <v>152694.04999999999</v>
      </c>
      <c r="F10" s="54">
        <f t="shared" si="2"/>
        <v>94.216290940773547</v>
      </c>
      <c r="G10" s="54">
        <f t="shared" si="3"/>
        <v>72.936907307812945</v>
      </c>
    </row>
    <row r="11" spans="2:7" x14ac:dyDescent="0.25">
      <c r="B11" s="29"/>
      <c r="C11" s="53"/>
      <c r="D11" s="53"/>
      <c r="E11" s="54"/>
      <c r="F11" s="54"/>
      <c r="G11" s="54"/>
    </row>
    <row r="12" spans="2:7" x14ac:dyDescent="0.25">
      <c r="B12" s="5" t="s">
        <v>130</v>
      </c>
      <c r="C12" s="62">
        <f>C13</f>
        <v>20150.6403875506</v>
      </c>
      <c r="D12" s="62">
        <f>D13</f>
        <v>21899.26</v>
      </c>
      <c r="E12" s="62">
        <f t="shared" ref="E12" si="4">E13</f>
        <v>21266.75</v>
      </c>
      <c r="F12" s="54">
        <f t="shared" si="2"/>
        <v>105.53882949119051</v>
      </c>
      <c r="G12" s="54">
        <f t="shared" si="3"/>
        <v>97.111728889469333</v>
      </c>
    </row>
    <row r="13" spans="2:7" x14ac:dyDescent="0.25">
      <c r="B13" s="89" t="s">
        <v>131</v>
      </c>
      <c r="C13" s="53">
        <f>151825/7.5345</f>
        <v>20150.6403875506</v>
      </c>
      <c r="D13" s="53">
        <v>21899.26</v>
      </c>
      <c r="E13" s="54">
        <v>21266.75</v>
      </c>
      <c r="F13" s="54">
        <f t="shared" si="2"/>
        <v>105.53882949119051</v>
      </c>
      <c r="G13" s="54">
        <f t="shared" si="3"/>
        <v>97.111728889469333</v>
      </c>
    </row>
    <row r="14" spans="2:7" x14ac:dyDescent="0.25">
      <c r="B14" s="9"/>
      <c r="C14" s="53"/>
      <c r="D14" s="53"/>
      <c r="E14" s="54"/>
      <c r="F14" s="54"/>
      <c r="G14" s="54"/>
    </row>
    <row r="15" spans="2:7" s="34" customFormat="1" x14ac:dyDescent="0.25">
      <c r="B15" s="5" t="s">
        <v>97</v>
      </c>
      <c r="C15" s="62">
        <f>C16</f>
        <v>557.43579534142941</v>
      </c>
      <c r="D15" s="62">
        <f>D16</f>
        <v>265.45</v>
      </c>
      <c r="E15" s="62">
        <f t="shared" ref="E15" si="5">E16</f>
        <v>172.8</v>
      </c>
      <c r="F15" s="54">
        <f t="shared" si="2"/>
        <v>30.999085714285719</v>
      </c>
      <c r="G15" s="54">
        <f t="shared" si="3"/>
        <v>65.097005085703529</v>
      </c>
    </row>
    <row r="16" spans="2:7" x14ac:dyDescent="0.25">
      <c r="B16" s="9" t="s">
        <v>98</v>
      </c>
      <c r="C16" s="53">
        <f>4200/7.5345</f>
        <v>557.43579534142941</v>
      </c>
      <c r="D16" s="53">
        <v>265.45</v>
      </c>
      <c r="E16" s="54">
        <v>172.8</v>
      </c>
      <c r="F16" s="54">
        <f t="shared" si="2"/>
        <v>30.999085714285719</v>
      </c>
      <c r="G16" s="54">
        <f t="shared" si="3"/>
        <v>65.097005085703529</v>
      </c>
    </row>
    <row r="17" spans="2:7" x14ac:dyDescent="0.25">
      <c r="B17" s="28"/>
      <c r="C17" s="53"/>
      <c r="D17" s="53"/>
      <c r="E17" s="54"/>
      <c r="F17" s="54"/>
      <c r="G17" s="54"/>
    </row>
    <row r="18" spans="2:7" ht="15.75" customHeight="1" x14ac:dyDescent="0.25">
      <c r="B18" s="5" t="s">
        <v>23</v>
      </c>
      <c r="C18" s="62">
        <f>C19+C22+C25</f>
        <v>172642.14</v>
      </c>
      <c r="D18" s="62">
        <f t="shared" ref="D18:E18" si="6">D19+D22+D25</f>
        <v>231515.58000000002</v>
      </c>
      <c r="E18" s="62">
        <f t="shared" si="6"/>
        <v>185603.32</v>
      </c>
      <c r="F18" s="54">
        <f t="shared" si="2"/>
        <v>107.5075413221824</v>
      </c>
      <c r="G18" s="54">
        <f t="shared" si="3"/>
        <v>80.168824923143404</v>
      </c>
    </row>
    <row r="19" spans="2:7" ht="15.75" customHeight="1" x14ac:dyDescent="0.25">
      <c r="B19" s="5" t="s">
        <v>22</v>
      </c>
      <c r="C19" s="62">
        <f>C20</f>
        <v>151934.06</v>
      </c>
      <c r="D19" s="62">
        <f>D20</f>
        <v>209350.87</v>
      </c>
      <c r="E19" s="62">
        <f t="shared" ref="E19" si="7">E20</f>
        <v>164163.77000000002</v>
      </c>
      <c r="F19" s="54">
        <f t="shared" si="2"/>
        <v>108.04935377886962</v>
      </c>
      <c r="G19" s="54">
        <f t="shared" si="3"/>
        <v>78.415613940367194</v>
      </c>
    </row>
    <row r="20" spans="2:7" x14ac:dyDescent="0.25">
      <c r="B20" s="30" t="s">
        <v>95</v>
      </c>
      <c r="C20" s="53">
        <v>151934.06</v>
      </c>
      <c r="D20" s="53">
        <f>203493+5857.87</f>
        <v>209350.87</v>
      </c>
      <c r="E20" s="54">
        <f>185603.32-E23-E26</f>
        <v>164163.77000000002</v>
      </c>
      <c r="F20" s="54">
        <f t="shared" si="2"/>
        <v>108.04935377886962</v>
      </c>
      <c r="G20" s="54">
        <f t="shared" si="3"/>
        <v>78.415613940367194</v>
      </c>
    </row>
    <row r="21" spans="2:7" x14ac:dyDescent="0.25">
      <c r="B21" s="29"/>
      <c r="C21" s="53"/>
      <c r="D21" s="53"/>
      <c r="E21" s="54"/>
      <c r="F21" s="54"/>
      <c r="G21" s="54"/>
    </row>
    <row r="22" spans="2:7" x14ac:dyDescent="0.25">
      <c r="B22" s="5" t="s">
        <v>130</v>
      </c>
      <c r="C22" s="62">
        <f>C23</f>
        <v>20150.64</v>
      </c>
      <c r="D22" s="62">
        <f>D23</f>
        <v>21899.26</v>
      </c>
      <c r="E22" s="62">
        <f t="shared" ref="E22" si="8">E23</f>
        <v>21266.75</v>
      </c>
      <c r="F22" s="54">
        <f t="shared" si="2"/>
        <v>105.53883152098396</v>
      </c>
      <c r="G22" s="54">
        <f t="shared" si="3"/>
        <v>97.111728889469333</v>
      </c>
    </row>
    <row r="23" spans="2:7" x14ac:dyDescent="0.25">
      <c r="B23" s="89" t="s">
        <v>131</v>
      </c>
      <c r="C23" s="53">
        <v>20150.64</v>
      </c>
      <c r="D23" s="53">
        <v>21899.26</v>
      </c>
      <c r="E23" s="54">
        <v>21266.75</v>
      </c>
      <c r="F23" s="54">
        <f t="shared" si="2"/>
        <v>105.53883152098396</v>
      </c>
      <c r="G23" s="54">
        <f t="shared" si="3"/>
        <v>97.111728889469333</v>
      </c>
    </row>
    <row r="24" spans="2:7" x14ac:dyDescent="0.25">
      <c r="B24" s="9"/>
      <c r="C24" s="53"/>
      <c r="D24" s="53"/>
      <c r="E24" s="54"/>
      <c r="F24" s="54"/>
      <c r="G24" s="54"/>
    </row>
    <row r="25" spans="2:7" x14ac:dyDescent="0.25">
      <c r="B25" s="5" t="s">
        <v>97</v>
      </c>
      <c r="C25" s="62">
        <f>C26</f>
        <v>557.44000000000005</v>
      </c>
      <c r="D25" s="62">
        <f>D26</f>
        <v>265.45</v>
      </c>
      <c r="E25" s="62">
        <f t="shared" ref="E25" si="9">E26</f>
        <v>172.8</v>
      </c>
      <c r="F25" s="54">
        <f t="shared" si="2"/>
        <v>30.99885189437428</v>
      </c>
      <c r="G25" s="54">
        <f t="shared" si="3"/>
        <v>65.097005085703529</v>
      </c>
    </row>
    <row r="26" spans="2:7" x14ac:dyDescent="0.25">
      <c r="B26" s="9" t="s">
        <v>98</v>
      </c>
      <c r="C26" s="53">
        <v>557.44000000000005</v>
      </c>
      <c r="D26" s="53">
        <v>265.45</v>
      </c>
      <c r="E26" s="54">
        <v>172.8</v>
      </c>
      <c r="F26" s="54">
        <f t="shared" si="2"/>
        <v>30.99885189437428</v>
      </c>
      <c r="G26" s="54">
        <f t="shared" si="3"/>
        <v>65.097005085703529</v>
      </c>
    </row>
    <row r="27" spans="2:7" x14ac:dyDescent="0.25">
      <c r="B27" s="9"/>
      <c r="C27" s="53"/>
      <c r="D27" s="53"/>
      <c r="E27" s="54"/>
      <c r="F27" s="54"/>
      <c r="G27" s="54"/>
    </row>
    <row r="28" spans="2:7" x14ac:dyDescent="0.25">
      <c r="F28" s="87"/>
    </row>
  </sheetData>
  <mergeCells count="2">
    <mergeCell ref="B4:G4"/>
    <mergeCell ref="B2:G2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1"/>
  <sheetViews>
    <sheetView workbookViewId="0">
      <selection activeCell="D20" sqref="D20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x14ac:dyDescent="0.25">
      <c r="B2" s="158" t="s">
        <v>159</v>
      </c>
      <c r="C2" s="158"/>
      <c r="D2" s="158"/>
      <c r="E2" s="158"/>
      <c r="F2" s="158"/>
      <c r="G2" s="158"/>
    </row>
    <row r="3" spans="2:7" ht="18" x14ac:dyDescent="0.25">
      <c r="B3" s="2"/>
      <c r="C3" s="2"/>
      <c r="D3" s="2"/>
      <c r="E3" s="3"/>
      <c r="F3" s="3"/>
      <c r="G3" s="3"/>
    </row>
    <row r="4" spans="2:7" ht="15.75" customHeight="1" x14ac:dyDescent="0.25">
      <c r="B4" s="142" t="s">
        <v>34</v>
      </c>
      <c r="C4" s="142"/>
      <c r="D4" s="142"/>
      <c r="E4" s="142"/>
      <c r="F4" s="142"/>
      <c r="G4" s="142"/>
    </row>
    <row r="5" spans="2:7" ht="18" x14ac:dyDescent="0.25">
      <c r="B5" s="2"/>
      <c r="C5" s="2"/>
      <c r="D5" s="2"/>
      <c r="E5" s="3"/>
      <c r="F5" s="3"/>
      <c r="G5" s="3"/>
    </row>
    <row r="6" spans="2:7" ht="25.5" x14ac:dyDescent="0.25">
      <c r="B6" s="39" t="s">
        <v>5</v>
      </c>
      <c r="C6" s="126" t="s">
        <v>197</v>
      </c>
      <c r="D6" s="39" t="s">
        <v>196</v>
      </c>
      <c r="E6" s="126" t="s">
        <v>198</v>
      </c>
      <c r="F6" s="39" t="s">
        <v>14</v>
      </c>
      <c r="G6" s="39" t="s">
        <v>35</v>
      </c>
    </row>
    <row r="7" spans="2:7" x14ac:dyDescent="0.25">
      <c r="B7" s="39">
        <v>1</v>
      </c>
      <c r="C7" s="39">
        <v>2</v>
      </c>
      <c r="D7" s="39">
        <v>3</v>
      </c>
      <c r="E7" s="39">
        <v>4</v>
      </c>
      <c r="F7" s="39" t="s">
        <v>156</v>
      </c>
      <c r="G7" s="39" t="s">
        <v>157</v>
      </c>
    </row>
    <row r="8" spans="2:7" ht="15.75" customHeight="1" x14ac:dyDescent="0.25">
      <c r="B8" s="5" t="s">
        <v>23</v>
      </c>
      <c r="C8" s="62">
        <f>C9</f>
        <v>172642.13683721545</v>
      </c>
      <c r="D8" s="62">
        <f t="shared" ref="D8:E8" si="0">D9</f>
        <v>231515.58</v>
      </c>
      <c r="E8" s="62">
        <f t="shared" si="0"/>
        <v>185603.32</v>
      </c>
      <c r="F8" s="54">
        <f>E8/C8*100</f>
        <v>107.50754329170849</v>
      </c>
      <c r="G8" s="54">
        <f>E8/D8*100</f>
        <v>80.168824923143404</v>
      </c>
    </row>
    <row r="9" spans="2:7" ht="15.75" customHeight="1" x14ac:dyDescent="0.25">
      <c r="B9" s="65" t="s">
        <v>99</v>
      </c>
      <c r="C9" s="62">
        <f>C10</f>
        <v>172642.13683721545</v>
      </c>
      <c r="D9" s="62">
        <f t="shared" ref="D9:E9" si="1">D10</f>
        <v>231515.58</v>
      </c>
      <c r="E9" s="62">
        <f t="shared" si="1"/>
        <v>185603.32</v>
      </c>
      <c r="F9" s="54">
        <f t="shared" ref="F9:F11" si="2">E9/C9*100</f>
        <v>107.50754329170849</v>
      </c>
      <c r="G9" s="54">
        <f t="shared" ref="G9:G11" si="3">E9/D9*100</f>
        <v>80.168824923143404</v>
      </c>
    </row>
    <row r="10" spans="2:7" x14ac:dyDescent="0.25">
      <c r="B10" s="66" t="s">
        <v>100</v>
      </c>
      <c r="C10" s="53">
        <f>C11</f>
        <v>172642.13683721545</v>
      </c>
      <c r="D10" s="53">
        <v>231515.58</v>
      </c>
      <c r="E10" s="54">
        <f>E11</f>
        <v>185603.32</v>
      </c>
      <c r="F10" s="54">
        <f t="shared" si="2"/>
        <v>107.50754329170849</v>
      </c>
      <c r="G10" s="54">
        <f t="shared" si="3"/>
        <v>80.168824923143404</v>
      </c>
    </row>
    <row r="11" spans="2:7" x14ac:dyDescent="0.25">
      <c r="B11" s="31" t="s">
        <v>123</v>
      </c>
      <c r="C11" s="53">
        <f>1300772.18/7.5345</f>
        <v>172642.13683721545</v>
      </c>
      <c r="D11" s="53">
        <v>231515.58</v>
      </c>
      <c r="E11" s="54">
        <v>185603.32</v>
      </c>
      <c r="F11" s="54">
        <f t="shared" si="2"/>
        <v>107.50754329170849</v>
      </c>
      <c r="G11" s="54">
        <f t="shared" si="3"/>
        <v>80.168824923143404</v>
      </c>
    </row>
  </sheetData>
  <mergeCells count="2">
    <mergeCell ref="B4:G4"/>
    <mergeCell ref="B2:G2"/>
  </mergeCells>
  <pageMargins left="0.5118110236220472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18"/>
  <sheetViews>
    <sheetView workbookViewId="0">
      <selection activeCell="G14" sqref="G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9" width="25.28515625" customWidth="1"/>
    <col min="10" max="11" width="15.7109375" customWidth="1"/>
  </cols>
  <sheetData>
    <row r="1" spans="2:11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 customHeight="1" x14ac:dyDescent="0.25">
      <c r="B2" s="158" t="s">
        <v>160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1" ht="18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8" customHeight="1" x14ac:dyDescent="0.25">
      <c r="B4" s="142" t="s">
        <v>50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2:11" ht="15.75" customHeight="1" x14ac:dyDescent="0.25">
      <c r="B5" s="142" t="s">
        <v>26</v>
      </c>
      <c r="C5" s="142"/>
      <c r="D5" s="142"/>
      <c r="E5" s="142"/>
      <c r="F5" s="142"/>
      <c r="G5" s="142"/>
      <c r="H5" s="142"/>
      <c r="I5" s="142"/>
      <c r="J5" s="142"/>
      <c r="K5" s="142"/>
    </row>
    <row r="6" spans="2:11" ht="18" x14ac:dyDescent="0.25">
      <c r="B6" s="2"/>
      <c r="C6" s="2"/>
      <c r="D6" s="2"/>
      <c r="E6" s="2"/>
      <c r="F6" s="2"/>
      <c r="G6" s="2"/>
      <c r="H6" s="2"/>
      <c r="I6" s="3"/>
      <c r="J6" s="3"/>
      <c r="K6" s="3"/>
    </row>
    <row r="7" spans="2:11" ht="25.5" customHeight="1" x14ac:dyDescent="0.25">
      <c r="B7" s="154" t="s">
        <v>5</v>
      </c>
      <c r="C7" s="155"/>
      <c r="D7" s="155"/>
      <c r="E7" s="155"/>
      <c r="F7" s="156"/>
      <c r="G7" s="126" t="s">
        <v>197</v>
      </c>
      <c r="H7" s="39" t="s">
        <v>196</v>
      </c>
      <c r="I7" s="126" t="s">
        <v>198</v>
      </c>
      <c r="J7" s="41" t="s">
        <v>14</v>
      </c>
      <c r="K7" s="41" t="s">
        <v>35</v>
      </c>
    </row>
    <row r="8" spans="2:11" x14ac:dyDescent="0.25">
      <c r="B8" s="154">
        <v>1</v>
      </c>
      <c r="C8" s="155"/>
      <c r="D8" s="155"/>
      <c r="E8" s="155"/>
      <c r="F8" s="156"/>
      <c r="G8" s="41">
        <v>2</v>
      </c>
      <c r="H8" s="41">
        <v>3</v>
      </c>
      <c r="I8" s="41">
        <v>4</v>
      </c>
      <c r="J8" s="41" t="s">
        <v>156</v>
      </c>
      <c r="K8" s="41" t="s">
        <v>157</v>
      </c>
    </row>
    <row r="9" spans="2:11" ht="25.5" x14ac:dyDescent="0.25">
      <c r="B9" s="5">
        <v>8</v>
      </c>
      <c r="C9" s="5"/>
      <c r="D9" s="5"/>
      <c r="E9" s="5"/>
      <c r="F9" s="5" t="s">
        <v>7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2:11" x14ac:dyDescent="0.25">
      <c r="B10" s="5"/>
      <c r="C10" s="9">
        <v>84</v>
      </c>
      <c r="D10" s="9"/>
      <c r="E10" s="9"/>
      <c r="F10" s="9" t="s">
        <v>12</v>
      </c>
      <c r="G10" s="62"/>
      <c r="H10" s="62"/>
      <c r="I10" s="63"/>
      <c r="J10" s="26"/>
      <c r="K10" s="26"/>
    </row>
    <row r="11" spans="2:11" ht="51" x14ac:dyDescent="0.25">
      <c r="B11" s="6"/>
      <c r="C11" s="6"/>
      <c r="D11" s="6">
        <v>841</v>
      </c>
      <c r="E11" s="6"/>
      <c r="F11" s="27" t="s">
        <v>27</v>
      </c>
      <c r="G11" s="62"/>
      <c r="H11" s="62"/>
      <c r="I11" s="63"/>
      <c r="J11" s="26"/>
      <c r="K11" s="26"/>
    </row>
    <row r="12" spans="2:11" ht="25.5" x14ac:dyDescent="0.25">
      <c r="B12" s="6"/>
      <c r="C12" s="6"/>
      <c r="D12" s="6"/>
      <c r="E12" s="6">
        <v>8413</v>
      </c>
      <c r="F12" s="27" t="s">
        <v>28</v>
      </c>
      <c r="G12" s="62"/>
      <c r="H12" s="62"/>
      <c r="I12" s="63"/>
      <c r="J12" s="26"/>
      <c r="K12" s="26"/>
    </row>
    <row r="13" spans="2:11" x14ac:dyDescent="0.25">
      <c r="B13" s="6"/>
      <c r="C13" s="6"/>
      <c r="D13" s="6"/>
      <c r="E13" s="7"/>
      <c r="F13" s="11"/>
      <c r="G13" s="62"/>
      <c r="H13" s="62"/>
      <c r="I13" s="63"/>
      <c r="J13" s="26"/>
      <c r="K13" s="26"/>
    </row>
    <row r="14" spans="2:11" ht="25.5" x14ac:dyDescent="0.25">
      <c r="B14" s="8">
        <v>5</v>
      </c>
      <c r="C14" s="8"/>
      <c r="D14" s="8"/>
      <c r="E14" s="8"/>
      <c r="F14" s="19" t="s">
        <v>8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2:11" ht="25.5" x14ac:dyDescent="0.25">
      <c r="B15" s="9"/>
      <c r="C15" s="9">
        <v>54</v>
      </c>
      <c r="D15" s="9"/>
      <c r="E15" s="9"/>
      <c r="F15" s="20" t="s">
        <v>13</v>
      </c>
      <c r="G15" s="53"/>
      <c r="H15" s="53"/>
      <c r="I15" s="54"/>
      <c r="J15" s="26"/>
      <c r="K15" s="26"/>
    </row>
    <row r="16" spans="2:11" ht="63.75" x14ac:dyDescent="0.25">
      <c r="B16" s="9"/>
      <c r="C16" s="9"/>
      <c r="D16" s="9">
        <v>541</v>
      </c>
      <c r="E16" s="27"/>
      <c r="F16" s="27" t="s">
        <v>29</v>
      </c>
      <c r="G16" s="53"/>
      <c r="H16" s="53"/>
      <c r="I16" s="54"/>
      <c r="J16" s="26"/>
      <c r="K16" s="26"/>
    </row>
    <row r="17" spans="2:11" ht="38.25" x14ac:dyDescent="0.25">
      <c r="B17" s="9"/>
      <c r="C17" s="9"/>
      <c r="D17" s="9"/>
      <c r="E17" s="27">
        <v>5413</v>
      </c>
      <c r="F17" s="27" t="s">
        <v>30</v>
      </c>
      <c r="G17" s="53"/>
      <c r="H17" s="53"/>
      <c r="I17" s="54"/>
      <c r="J17" s="26"/>
      <c r="K17" s="26"/>
    </row>
    <row r="18" spans="2:11" x14ac:dyDescent="0.25">
      <c r="B18" s="10"/>
      <c r="C18" s="8"/>
      <c r="D18" s="8"/>
      <c r="E18" s="8"/>
      <c r="F18" s="19"/>
      <c r="G18" s="53"/>
      <c r="H18" s="53"/>
      <c r="I18" s="54"/>
      <c r="J18" s="26"/>
      <c r="K18" s="26"/>
    </row>
  </sheetData>
  <mergeCells count="5">
    <mergeCell ref="B7:F7"/>
    <mergeCell ref="B4:K4"/>
    <mergeCell ref="B5:K5"/>
    <mergeCell ref="B8:F8"/>
    <mergeCell ref="B2:K2"/>
  </mergeCells>
  <pageMargins left="0.31496062992125984" right="0.31496062992125984" top="0.74803149606299213" bottom="0.74803149606299213" header="0.31496062992125984" footer="0.31496062992125984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8"/>
  <sheetViews>
    <sheetView topLeftCell="A58" workbookViewId="0">
      <selection activeCell="L15" sqref="L15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x14ac:dyDescent="0.25">
      <c r="B2" s="158" t="s">
        <v>161</v>
      </c>
      <c r="C2" s="158"/>
      <c r="D2" s="158"/>
      <c r="E2" s="158"/>
      <c r="F2" s="158"/>
      <c r="G2" s="158"/>
    </row>
    <row r="3" spans="2:7" ht="18" x14ac:dyDescent="0.25">
      <c r="B3" s="2"/>
      <c r="C3" s="2"/>
      <c r="D3" s="2"/>
      <c r="E3" s="3"/>
      <c r="F3" s="3"/>
      <c r="G3" s="3"/>
    </row>
    <row r="4" spans="2:7" ht="15.75" customHeight="1" x14ac:dyDescent="0.25">
      <c r="B4" s="142" t="s">
        <v>31</v>
      </c>
      <c r="C4" s="142"/>
      <c r="D4" s="142"/>
      <c r="E4" s="142"/>
      <c r="F4" s="142"/>
      <c r="G4" s="142"/>
    </row>
    <row r="5" spans="2:7" ht="18" x14ac:dyDescent="0.25">
      <c r="B5" s="2"/>
      <c r="C5" s="2"/>
      <c r="D5" s="2"/>
      <c r="E5" s="3"/>
      <c r="F5" s="3"/>
      <c r="G5" s="3"/>
    </row>
    <row r="6" spans="2:7" ht="25.5" x14ac:dyDescent="0.25">
      <c r="B6" s="39" t="s">
        <v>5</v>
      </c>
      <c r="C6" s="126" t="s">
        <v>197</v>
      </c>
      <c r="D6" s="39" t="s">
        <v>196</v>
      </c>
      <c r="E6" s="126" t="s">
        <v>198</v>
      </c>
      <c r="F6" s="39" t="s">
        <v>14</v>
      </c>
      <c r="G6" s="39" t="s">
        <v>35</v>
      </c>
    </row>
    <row r="7" spans="2:7" x14ac:dyDescent="0.25">
      <c r="B7" s="39">
        <v>1</v>
      </c>
      <c r="C7" s="39">
        <v>2</v>
      </c>
      <c r="D7" s="39">
        <v>3</v>
      </c>
      <c r="E7" s="39">
        <v>4</v>
      </c>
      <c r="F7" s="39" t="s">
        <v>156</v>
      </c>
      <c r="G7" s="39" t="s">
        <v>157</v>
      </c>
    </row>
    <row r="8" spans="2:7" x14ac:dyDescent="0.25">
      <c r="B8" s="5" t="s">
        <v>32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2:7" x14ac:dyDescent="0.25">
      <c r="B9" s="5" t="s">
        <v>22</v>
      </c>
      <c r="C9" s="53"/>
      <c r="D9" s="53"/>
      <c r="E9" s="54"/>
      <c r="F9" s="26"/>
      <c r="G9" s="26"/>
    </row>
    <row r="10" spans="2:7" x14ac:dyDescent="0.25">
      <c r="B10" s="30" t="s">
        <v>95</v>
      </c>
      <c r="C10" s="53"/>
      <c r="D10" s="53"/>
      <c r="E10" s="54"/>
      <c r="F10" s="26"/>
      <c r="G10" s="26"/>
    </row>
    <row r="11" spans="2:7" x14ac:dyDescent="0.25">
      <c r="B11" s="29"/>
      <c r="C11" s="53"/>
      <c r="D11" s="53"/>
      <c r="E11" s="54"/>
      <c r="F11" s="26"/>
      <c r="G11" s="26"/>
    </row>
    <row r="12" spans="2:7" x14ac:dyDescent="0.25">
      <c r="B12" s="5" t="s">
        <v>21</v>
      </c>
      <c r="C12" s="53"/>
      <c r="D12" s="53"/>
      <c r="E12" s="54"/>
      <c r="F12" s="26"/>
      <c r="G12" s="26"/>
    </row>
    <row r="13" spans="2:7" x14ac:dyDescent="0.25">
      <c r="B13" s="28" t="s">
        <v>96</v>
      </c>
      <c r="C13" s="53"/>
      <c r="D13" s="53"/>
      <c r="E13" s="54"/>
      <c r="F13" s="26"/>
      <c r="G13" s="26"/>
    </row>
    <row r="14" spans="2:7" x14ac:dyDescent="0.25">
      <c r="B14" s="9"/>
      <c r="C14" s="53"/>
      <c r="D14" s="53"/>
      <c r="E14" s="54"/>
      <c r="F14" s="26"/>
      <c r="G14" s="26"/>
    </row>
    <row r="15" spans="2:7" x14ac:dyDescent="0.25">
      <c r="B15" s="5" t="s">
        <v>97</v>
      </c>
      <c r="C15" s="53"/>
      <c r="D15" s="53"/>
      <c r="E15" s="54"/>
      <c r="F15" s="26"/>
      <c r="G15" s="26"/>
    </row>
    <row r="16" spans="2:7" x14ac:dyDescent="0.25">
      <c r="B16" s="9" t="s">
        <v>98</v>
      </c>
      <c r="C16" s="53"/>
      <c r="D16" s="53"/>
      <c r="E16" s="54"/>
      <c r="F16" s="26"/>
      <c r="G16" s="26"/>
    </row>
    <row r="17" spans="2:7" x14ac:dyDescent="0.25">
      <c r="B17" s="9"/>
      <c r="C17" s="53"/>
      <c r="D17" s="53"/>
      <c r="E17" s="54"/>
      <c r="F17" s="26"/>
      <c r="G17" s="26"/>
    </row>
    <row r="18" spans="2:7" x14ac:dyDescent="0.25">
      <c r="B18" s="28"/>
      <c r="C18" s="53"/>
      <c r="D18" s="53"/>
      <c r="E18" s="54"/>
      <c r="F18" s="26"/>
      <c r="G18" s="26"/>
    </row>
    <row r="19" spans="2:7" ht="15.75" customHeight="1" x14ac:dyDescent="0.25">
      <c r="B19" s="5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2:7" ht="15.75" customHeight="1" x14ac:dyDescent="0.25">
      <c r="B20" s="5" t="s">
        <v>22</v>
      </c>
      <c r="C20" s="53"/>
      <c r="D20" s="53"/>
      <c r="E20" s="54"/>
      <c r="F20" s="26"/>
      <c r="G20" s="26"/>
    </row>
    <row r="21" spans="2:7" x14ac:dyDescent="0.25">
      <c r="B21" s="30" t="s">
        <v>95</v>
      </c>
      <c r="C21" s="53"/>
      <c r="D21" s="53"/>
      <c r="E21" s="54"/>
      <c r="F21" s="26"/>
      <c r="G21" s="26"/>
    </row>
    <row r="22" spans="2:7" x14ac:dyDescent="0.25">
      <c r="B22" s="29"/>
      <c r="C22" s="53"/>
      <c r="D22" s="53"/>
      <c r="E22" s="54"/>
      <c r="F22" s="26"/>
      <c r="G22" s="26"/>
    </row>
    <row r="23" spans="2:7" x14ac:dyDescent="0.25">
      <c r="B23" s="5" t="s">
        <v>21</v>
      </c>
      <c r="C23" s="53"/>
      <c r="D23" s="53"/>
      <c r="E23" s="54"/>
      <c r="F23" s="26"/>
      <c r="G23" s="26"/>
    </row>
    <row r="24" spans="2:7" x14ac:dyDescent="0.25">
      <c r="B24" s="28" t="s">
        <v>96</v>
      </c>
      <c r="C24" s="53"/>
      <c r="D24" s="53"/>
      <c r="E24" s="54"/>
      <c r="F24" s="26"/>
      <c r="G24" s="26"/>
    </row>
    <row r="25" spans="2:7" x14ac:dyDescent="0.25">
      <c r="B25" s="9"/>
      <c r="C25" s="53"/>
      <c r="D25" s="53"/>
      <c r="E25" s="54"/>
      <c r="F25" s="26"/>
      <c r="G25" s="26"/>
    </row>
    <row r="26" spans="2:7" x14ac:dyDescent="0.25">
      <c r="B26" s="5" t="s">
        <v>97</v>
      </c>
      <c r="C26" s="53"/>
      <c r="D26" s="53"/>
      <c r="E26" s="54"/>
      <c r="F26" s="26"/>
      <c r="G26" s="26"/>
    </row>
    <row r="27" spans="2:7" x14ac:dyDescent="0.25">
      <c r="B27" s="9" t="s">
        <v>98</v>
      </c>
      <c r="C27" s="53"/>
      <c r="D27" s="53"/>
      <c r="E27" s="54"/>
      <c r="F27" s="26"/>
      <c r="G27" s="26"/>
    </row>
    <row r="28" spans="2:7" x14ac:dyDescent="0.25">
      <c r="B28" s="9"/>
      <c r="C28" s="53"/>
      <c r="D28" s="53"/>
      <c r="E28" s="54"/>
      <c r="F28" s="26"/>
      <c r="G28" s="26"/>
    </row>
  </sheetData>
  <mergeCells count="2">
    <mergeCell ref="B4:G4"/>
    <mergeCell ref="B2:G2"/>
  </mergeCells>
  <pageMargins left="0.31496062992125984" right="0.31496062992125984" top="0.74803149606299213" bottom="0.74803149606299213" header="0.31496062992125984" footer="0.31496062992125984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63"/>
  <sheetViews>
    <sheetView topLeftCell="A61" workbookViewId="0">
      <selection activeCell="G59" sqref="G59"/>
    </sheetView>
  </sheetViews>
  <sheetFormatPr defaultRowHeight="15" x14ac:dyDescent="0.25"/>
  <cols>
    <col min="2" max="2" width="7.42578125" bestFit="1" customWidth="1"/>
    <col min="3" max="3" width="4.140625" customWidth="1"/>
    <col min="4" max="4" width="2" customWidth="1"/>
    <col min="5" max="5" width="42.42578125" customWidth="1"/>
    <col min="6" max="6" width="23.42578125" customWidth="1"/>
    <col min="7" max="7" width="25.28515625" customWidth="1"/>
    <col min="8" max="8" width="15.7109375" customWidth="1"/>
  </cols>
  <sheetData>
    <row r="1" spans="2:8" ht="18" x14ac:dyDescent="0.25">
      <c r="B1" s="2"/>
      <c r="C1" s="2"/>
      <c r="D1" s="2"/>
      <c r="E1" s="2"/>
      <c r="F1" s="2"/>
      <c r="G1" s="2"/>
      <c r="H1" s="3"/>
    </row>
    <row r="2" spans="2:8" x14ac:dyDescent="0.25">
      <c r="B2" s="158" t="s">
        <v>162</v>
      </c>
      <c r="C2" s="158"/>
      <c r="D2" s="158"/>
      <c r="E2" s="158"/>
      <c r="F2" s="158"/>
      <c r="G2" s="158"/>
      <c r="H2" s="158"/>
    </row>
    <row r="3" spans="2:8" ht="18" x14ac:dyDescent="0.25">
      <c r="B3" s="2"/>
      <c r="C3" s="2"/>
      <c r="D3" s="2"/>
      <c r="E3" s="2"/>
      <c r="F3" s="2"/>
      <c r="G3" s="2"/>
      <c r="H3" s="3"/>
    </row>
    <row r="4" spans="2:8" ht="18" customHeight="1" x14ac:dyDescent="0.25">
      <c r="B4" s="157" t="s">
        <v>9</v>
      </c>
      <c r="C4" s="177"/>
      <c r="D4" s="177"/>
      <c r="E4" s="177"/>
      <c r="F4" s="177"/>
      <c r="G4" s="177"/>
      <c r="H4" s="177"/>
    </row>
    <row r="5" spans="2:8" ht="18" x14ac:dyDescent="0.25">
      <c r="B5" s="2"/>
      <c r="C5" s="2"/>
      <c r="D5" s="2"/>
      <c r="E5" s="2"/>
      <c r="F5" s="2"/>
      <c r="G5" s="2"/>
      <c r="H5" s="3"/>
    </row>
    <row r="6" spans="2:8" ht="15.75" x14ac:dyDescent="0.25">
      <c r="B6" s="178" t="s">
        <v>51</v>
      </c>
      <c r="C6" s="178"/>
      <c r="D6" s="178"/>
      <c r="E6" s="178"/>
      <c r="F6" s="178"/>
      <c r="G6" s="178"/>
      <c r="H6" s="178"/>
    </row>
    <row r="7" spans="2:8" ht="15.75" x14ac:dyDescent="0.25">
      <c r="B7" s="67"/>
      <c r="C7" s="67"/>
      <c r="D7" s="67"/>
      <c r="E7" s="67"/>
      <c r="F7" s="67"/>
      <c r="G7" s="67"/>
      <c r="H7" s="67"/>
    </row>
    <row r="8" spans="2:8" ht="18" x14ac:dyDescent="0.25">
      <c r="B8" s="2"/>
      <c r="C8" s="2"/>
      <c r="D8" s="2"/>
      <c r="E8" s="2"/>
      <c r="F8" s="2"/>
      <c r="G8" s="2"/>
      <c r="H8" s="3"/>
    </row>
    <row r="9" spans="2:8" ht="25.5" x14ac:dyDescent="0.25">
      <c r="B9" s="154" t="s">
        <v>5</v>
      </c>
      <c r="C9" s="155"/>
      <c r="D9" s="155"/>
      <c r="E9" s="156"/>
      <c r="F9" s="39" t="s">
        <v>196</v>
      </c>
      <c r="G9" s="126" t="s">
        <v>198</v>
      </c>
      <c r="H9" s="39" t="s">
        <v>35</v>
      </c>
    </row>
    <row r="10" spans="2:8" s="25" customFormat="1" ht="15.75" customHeight="1" x14ac:dyDescent="0.2">
      <c r="B10" s="179">
        <v>1</v>
      </c>
      <c r="C10" s="180"/>
      <c r="D10" s="180"/>
      <c r="E10" s="181"/>
      <c r="F10" s="40">
        <v>2</v>
      </c>
      <c r="G10" s="40">
        <v>3</v>
      </c>
      <c r="H10" s="40" t="s">
        <v>155</v>
      </c>
    </row>
    <row r="11" spans="2:8" s="42" customFormat="1" ht="18" customHeight="1" x14ac:dyDescent="0.25">
      <c r="B11" s="169">
        <v>27870</v>
      </c>
      <c r="C11" s="170"/>
      <c r="D11" s="171"/>
      <c r="E11" s="90" t="s">
        <v>101</v>
      </c>
      <c r="F11" s="43"/>
      <c r="G11" s="101"/>
      <c r="H11" s="99"/>
    </row>
    <row r="12" spans="2:8" s="42" customFormat="1" ht="18" customHeight="1" x14ac:dyDescent="0.25">
      <c r="B12" s="169" t="s">
        <v>102</v>
      </c>
      <c r="C12" s="170"/>
      <c r="D12" s="171"/>
      <c r="E12" s="90" t="s">
        <v>103</v>
      </c>
      <c r="F12" s="43"/>
      <c r="G12" s="101"/>
      <c r="H12" s="99"/>
    </row>
    <row r="13" spans="2:8" s="42" customFormat="1" ht="25.5" customHeight="1" x14ac:dyDescent="0.25">
      <c r="B13" s="169" t="s">
        <v>104</v>
      </c>
      <c r="C13" s="170"/>
      <c r="D13" s="171"/>
      <c r="E13" s="90" t="s">
        <v>105</v>
      </c>
      <c r="F13" s="43"/>
      <c r="G13" s="101"/>
      <c r="H13" s="99"/>
    </row>
    <row r="14" spans="2:8" s="42" customFormat="1" ht="15" customHeight="1" x14ac:dyDescent="0.25">
      <c r="B14" s="172" t="s">
        <v>107</v>
      </c>
      <c r="C14" s="173"/>
      <c r="D14" s="174"/>
      <c r="E14" s="90" t="s">
        <v>106</v>
      </c>
      <c r="F14" s="43"/>
      <c r="G14" s="101"/>
      <c r="H14" s="99"/>
    </row>
    <row r="15" spans="2:8" s="97" customFormat="1" ht="21" customHeight="1" x14ac:dyDescent="0.25">
      <c r="B15" s="104" t="s">
        <v>153</v>
      </c>
      <c r="C15" s="105"/>
      <c r="D15" s="106"/>
      <c r="E15" s="107" t="s">
        <v>154</v>
      </c>
      <c r="F15" s="108">
        <f>F16+F53</f>
        <v>231515.57</v>
      </c>
      <c r="G15" s="108">
        <f t="shared" ref="G15" si="0">G16+G53</f>
        <v>185603.31999999998</v>
      </c>
      <c r="H15" s="109">
        <f>G15/F15*100</f>
        <v>80.168828385926687</v>
      </c>
    </row>
    <row r="16" spans="2:8" s="97" customFormat="1" ht="21" customHeight="1" x14ac:dyDescent="0.25">
      <c r="B16" s="111" t="s">
        <v>152</v>
      </c>
      <c r="C16" s="112"/>
      <c r="D16" s="113"/>
      <c r="E16" s="114" t="s">
        <v>3</v>
      </c>
      <c r="F16" s="115">
        <f>F18+F25+F49</f>
        <v>225626.56</v>
      </c>
      <c r="G16" s="115">
        <f t="shared" ref="G16" si="1">G18+G25+G49</f>
        <v>182349.44999999998</v>
      </c>
      <c r="H16" s="116">
        <f t="shared" ref="H16:H57" si="2">G16/F16*100</f>
        <v>80.819142037178594</v>
      </c>
    </row>
    <row r="17" spans="2:8" s="42" customFormat="1" ht="21" customHeight="1" x14ac:dyDescent="0.25">
      <c r="B17" s="175" t="s">
        <v>122</v>
      </c>
      <c r="C17" s="175"/>
      <c r="D17" s="175"/>
      <c r="E17" s="86" t="s">
        <v>121</v>
      </c>
      <c r="F17" s="88">
        <f>F18</f>
        <v>173768.41</v>
      </c>
      <c r="G17" s="88">
        <f t="shared" ref="G17" si="3">G18</f>
        <v>140157.65999999997</v>
      </c>
      <c r="H17" s="99">
        <f t="shared" si="2"/>
        <v>80.657732898632133</v>
      </c>
    </row>
    <row r="18" spans="2:8" s="97" customFormat="1" ht="21" customHeight="1" x14ac:dyDescent="0.25">
      <c r="B18" s="176">
        <v>31</v>
      </c>
      <c r="C18" s="176"/>
      <c r="D18" s="176"/>
      <c r="E18" s="95" t="s">
        <v>4</v>
      </c>
      <c r="F18" s="96">
        <f>F19+F20+F21</f>
        <v>173768.41</v>
      </c>
      <c r="G18" s="96">
        <f t="shared" ref="G18" si="4">G19+G20+G21</f>
        <v>140157.65999999997</v>
      </c>
      <c r="H18" s="98">
        <f t="shared" si="2"/>
        <v>80.657732898632133</v>
      </c>
    </row>
    <row r="19" spans="2:8" s="42" customFormat="1" ht="21" customHeight="1" x14ac:dyDescent="0.25">
      <c r="B19" s="169">
        <v>3111</v>
      </c>
      <c r="C19" s="170"/>
      <c r="D19" s="171"/>
      <c r="E19" s="91" t="s">
        <v>19</v>
      </c>
      <c r="F19" s="88">
        <v>141886.42000000001</v>
      </c>
      <c r="G19" s="99">
        <f>91134.79+22718.89</f>
        <v>113853.68</v>
      </c>
      <c r="H19" s="99">
        <f t="shared" si="2"/>
        <v>80.242830850196924</v>
      </c>
    </row>
    <row r="20" spans="2:8" s="42" customFormat="1" ht="21" customHeight="1" x14ac:dyDescent="0.2">
      <c r="B20" s="162">
        <v>3121</v>
      </c>
      <c r="C20" s="162"/>
      <c r="D20" s="162"/>
      <c r="E20" s="76" t="s">
        <v>116</v>
      </c>
      <c r="F20" s="92">
        <v>8400</v>
      </c>
      <c r="G20" s="92">
        <v>7517.79</v>
      </c>
      <c r="H20" s="99">
        <f t="shared" si="2"/>
        <v>89.497500000000002</v>
      </c>
    </row>
    <row r="21" spans="2:8" s="42" customFormat="1" ht="25.5" customHeight="1" x14ac:dyDescent="0.2">
      <c r="B21" s="162">
        <v>3132</v>
      </c>
      <c r="C21" s="162"/>
      <c r="D21" s="162"/>
      <c r="E21" s="93" t="s">
        <v>124</v>
      </c>
      <c r="F21" s="92">
        <v>23481.99</v>
      </c>
      <c r="G21" s="92">
        <v>18786.189999999999</v>
      </c>
      <c r="H21" s="99">
        <f t="shared" si="2"/>
        <v>80.002546632546895</v>
      </c>
    </row>
    <row r="22" spans="2:8" ht="21" customHeight="1" x14ac:dyDescent="0.25">
      <c r="B22" s="164" t="s">
        <v>125</v>
      </c>
      <c r="C22" s="164"/>
      <c r="D22" s="164"/>
      <c r="E22" s="76" t="s">
        <v>127</v>
      </c>
      <c r="F22" s="54">
        <v>265.45</v>
      </c>
      <c r="G22" s="102">
        <v>172.8</v>
      </c>
      <c r="H22" s="99">
        <f t="shared" si="2"/>
        <v>65.097005085703529</v>
      </c>
    </row>
    <row r="23" spans="2:8" ht="21" customHeight="1" x14ac:dyDescent="0.25">
      <c r="B23" s="164" t="s">
        <v>126</v>
      </c>
      <c r="C23" s="164"/>
      <c r="D23" s="164"/>
      <c r="E23" s="76" t="s">
        <v>129</v>
      </c>
      <c r="F23" s="54">
        <v>21899.26</v>
      </c>
      <c r="G23" s="102">
        <v>21266.75</v>
      </c>
      <c r="H23" s="99">
        <f t="shared" si="2"/>
        <v>97.111728889469333</v>
      </c>
    </row>
    <row r="24" spans="2:8" ht="21.75" customHeight="1" x14ac:dyDescent="0.25">
      <c r="B24" s="164" t="s">
        <v>122</v>
      </c>
      <c r="C24" s="164"/>
      <c r="D24" s="164"/>
      <c r="E24" s="76" t="s">
        <v>128</v>
      </c>
      <c r="F24" s="54">
        <v>28764.39</v>
      </c>
      <c r="G24" s="102">
        <f>41405.51-172.8-21266.75</f>
        <v>19965.96</v>
      </c>
      <c r="H24" s="99">
        <f t="shared" si="2"/>
        <v>69.412075138739254</v>
      </c>
    </row>
    <row r="25" spans="2:8" s="34" customFormat="1" ht="21" customHeight="1" x14ac:dyDescent="0.25">
      <c r="B25" s="165" t="s">
        <v>132</v>
      </c>
      <c r="C25" s="165"/>
      <c r="D25" s="165"/>
      <c r="E25" s="80" t="s">
        <v>11</v>
      </c>
      <c r="F25" s="63">
        <f>F26+F27+F28+F29+F30+F31+F32+F33+F34+F35+F36+F37+F38+F39+F40+F41+F42+F43+F44+F45+F46+F47</f>
        <v>50929.090000000011</v>
      </c>
      <c r="G25" s="103">
        <f t="shared" ref="G25" si="5">G26+G27+G28+G29+G30+G31+G32+G33+G34+G35+G36+G37+G38+G39+G40+G41+G42+G43+G44+G45+G46+G47</f>
        <v>41405.51</v>
      </c>
      <c r="H25" s="98">
        <f t="shared" si="2"/>
        <v>81.30031382850153</v>
      </c>
    </row>
    <row r="26" spans="2:8" ht="21" customHeight="1" x14ac:dyDescent="0.25">
      <c r="B26" s="164" t="s">
        <v>133</v>
      </c>
      <c r="C26" s="164"/>
      <c r="D26" s="164"/>
      <c r="E26" s="7" t="s">
        <v>117</v>
      </c>
      <c r="F26" s="54">
        <v>132.72</v>
      </c>
      <c r="G26" s="102">
        <v>76.48</v>
      </c>
      <c r="H26" s="99">
        <f t="shared" si="2"/>
        <v>57.625075346594336</v>
      </c>
    </row>
    <row r="27" spans="2:8" ht="21.75" customHeight="1" x14ac:dyDescent="0.25">
      <c r="B27" s="164" t="s">
        <v>134</v>
      </c>
      <c r="C27" s="164"/>
      <c r="D27" s="164"/>
      <c r="E27" s="7" t="s">
        <v>71</v>
      </c>
      <c r="F27" s="54">
        <v>8761.5400000000009</v>
      </c>
      <c r="G27" s="102">
        <v>6658.63</v>
      </c>
      <c r="H27" s="99">
        <f t="shared" si="2"/>
        <v>75.998397541984616</v>
      </c>
    </row>
    <row r="28" spans="2:8" ht="21" customHeight="1" x14ac:dyDescent="0.25">
      <c r="B28" s="164" t="s">
        <v>135</v>
      </c>
      <c r="C28" s="164"/>
      <c r="D28" s="164"/>
      <c r="E28" s="7" t="s">
        <v>72</v>
      </c>
      <c r="F28" s="54">
        <v>398.17</v>
      </c>
      <c r="G28" s="102">
        <v>292.39999999999998</v>
      </c>
      <c r="H28" s="99">
        <f t="shared" si="2"/>
        <v>73.435969560740375</v>
      </c>
    </row>
    <row r="29" spans="2:8" ht="25.5" x14ac:dyDescent="0.25">
      <c r="B29" s="164" t="s">
        <v>136</v>
      </c>
      <c r="C29" s="164"/>
      <c r="D29" s="164"/>
      <c r="E29" s="11" t="s">
        <v>70</v>
      </c>
      <c r="F29" s="54">
        <v>398.17</v>
      </c>
      <c r="G29" s="102">
        <v>137.68</v>
      </c>
      <c r="H29" s="99">
        <f t="shared" si="2"/>
        <v>34.578195243237815</v>
      </c>
    </row>
    <row r="30" spans="2:8" ht="21" customHeight="1" x14ac:dyDescent="0.25">
      <c r="B30" s="164" t="s">
        <v>137</v>
      </c>
      <c r="C30" s="164"/>
      <c r="D30" s="164"/>
      <c r="E30" s="7" t="s">
        <v>74</v>
      </c>
      <c r="F30" s="54">
        <v>2654.46</v>
      </c>
      <c r="G30" s="102">
        <v>3501.59</v>
      </c>
      <c r="H30" s="99">
        <f t="shared" si="2"/>
        <v>131.91345885792214</v>
      </c>
    </row>
    <row r="31" spans="2:8" ht="21.75" customHeight="1" x14ac:dyDescent="0.25">
      <c r="B31" s="164" t="s">
        <v>138</v>
      </c>
      <c r="C31" s="164"/>
      <c r="D31" s="164"/>
      <c r="E31" s="7" t="s">
        <v>75</v>
      </c>
      <c r="F31" s="54">
        <v>13000</v>
      </c>
      <c r="G31" s="102">
        <v>13422.66</v>
      </c>
      <c r="H31" s="99">
        <f t="shared" si="2"/>
        <v>103.25123076923077</v>
      </c>
    </row>
    <row r="32" spans="2:8" ht="21" customHeight="1" x14ac:dyDescent="0.25">
      <c r="B32" s="164" t="s">
        <v>139</v>
      </c>
      <c r="C32" s="164"/>
      <c r="D32" s="164"/>
      <c r="E32" s="7" t="s">
        <v>76</v>
      </c>
      <c r="F32" s="54">
        <v>8361.5400000000009</v>
      </c>
      <c r="G32" s="102">
        <v>6677.21</v>
      </c>
      <c r="H32" s="99">
        <f t="shared" si="2"/>
        <v>79.856222657548727</v>
      </c>
    </row>
    <row r="33" spans="2:8" ht="26.25" customHeight="1" x14ac:dyDescent="0.25">
      <c r="B33" s="164" t="s">
        <v>140</v>
      </c>
      <c r="C33" s="164"/>
      <c r="D33" s="164"/>
      <c r="E33" s="11" t="s">
        <v>77</v>
      </c>
      <c r="F33" s="54">
        <v>929.06</v>
      </c>
      <c r="G33" s="102">
        <v>494.59</v>
      </c>
      <c r="H33" s="99">
        <f t="shared" si="2"/>
        <v>53.235528383527445</v>
      </c>
    </row>
    <row r="34" spans="2:8" ht="21.75" customHeight="1" x14ac:dyDescent="0.25">
      <c r="B34" s="164" t="s">
        <v>141</v>
      </c>
      <c r="C34" s="164"/>
      <c r="D34" s="164"/>
      <c r="E34" s="7" t="s">
        <v>78</v>
      </c>
      <c r="F34" s="54">
        <v>3000</v>
      </c>
      <c r="G34" s="102">
        <v>565.38</v>
      </c>
      <c r="H34" s="99">
        <f t="shared" si="2"/>
        <v>18.846</v>
      </c>
    </row>
    <row r="35" spans="2:8" ht="21" customHeight="1" x14ac:dyDescent="0.25">
      <c r="B35" s="164" t="s">
        <v>142</v>
      </c>
      <c r="C35" s="164"/>
      <c r="D35" s="164"/>
      <c r="E35" s="7" t="s">
        <v>118</v>
      </c>
      <c r="F35" s="54">
        <v>1344.5</v>
      </c>
      <c r="G35" s="102"/>
      <c r="H35" s="99">
        <f t="shared" si="2"/>
        <v>0</v>
      </c>
    </row>
    <row r="36" spans="2:8" ht="21.75" customHeight="1" x14ac:dyDescent="0.25">
      <c r="B36" s="164" t="s">
        <v>143</v>
      </c>
      <c r="C36" s="164"/>
      <c r="D36" s="164"/>
      <c r="E36" s="7" t="s">
        <v>80</v>
      </c>
      <c r="F36" s="54">
        <v>477.8</v>
      </c>
      <c r="G36" s="102">
        <v>453.65</v>
      </c>
      <c r="H36" s="99">
        <f t="shared" si="2"/>
        <v>94.945583926329007</v>
      </c>
    </row>
    <row r="37" spans="2:8" ht="21" customHeight="1" x14ac:dyDescent="0.25">
      <c r="B37" s="164" t="s">
        <v>144</v>
      </c>
      <c r="C37" s="164"/>
      <c r="D37" s="164"/>
      <c r="E37" s="7" t="s">
        <v>81</v>
      </c>
      <c r="F37" s="54">
        <v>1061.78</v>
      </c>
      <c r="G37" s="102">
        <v>1034.04</v>
      </c>
      <c r="H37" s="99">
        <f t="shared" si="2"/>
        <v>97.387406053984819</v>
      </c>
    </row>
    <row r="38" spans="2:8" ht="21" customHeight="1" x14ac:dyDescent="0.25">
      <c r="B38" s="164" t="s">
        <v>145</v>
      </c>
      <c r="C38" s="164"/>
      <c r="D38" s="164"/>
      <c r="E38" s="7" t="s">
        <v>82</v>
      </c>
      <c r="F38" s="54">
        <v>2954.46</v>
      </c>
      <c r="G38" s="102">
        <v>2548.0300000000002</v>
      </c>
      <c r="H38" s="99">
        <f t="shared" si="2"/>
        <v>86.243509812283804</v>
      </c>
    </row>
    <row r="39" spans="2:8" ht="21" customHeight="1" x14ac:dyDescent="0.25">
      <c r="B39" s="164" t="s">
        <v>146</v>
      </c>
      <c r="C39" s="164"/>
      <c r="D39" s="164"/>
      <c r="E39" s="7" t="s">
        <v>83</v>
      </c>
      <c r="F39" s="54">
        <v>1194.51</v>
      </c>
      <c r="G39" s="102">
        <v>1045.8</v>
      </c>
      <c r="H39" s="99">
        <f t="shared" si="2"/>
        <v>87.550543737599511</v>
      </c>
    </row>
    <row r="40" spans="2:8" x14ac:dyDescent="0.25">
      <c r="B40" s="164" t="s">
        <v>147</v>
      </c>
      <c r="C40" s="164"/>
      <c r="D40" s="164"/>
      <c r="E40" s="7" t="s">
        <v>84</v>
      </c>
      <c r="F40" s="54">
        <v>530.89</v>
      </c>
      <c r="G40" s="102">
        <v>648</v>
      </c>
      <c r="H40" s="99">
        <f t="shared" si="2"/>
        <v>122.05918363502796</v>
      </c>
    </row>
    <row r="41" spans="2:8" ht="21" customHeight="1" x14ac:dyDescent="0.25">
      <c r="B41" s="164" t="s">
        <v>148</v>
      </c>
      <c r="C41" s="164"/>
      <c r="D41" s="164"/>
      <c r="E41" s="7" t="s">
        <v>85</v>
      </c>
      <c r="F41" s="54">
        <v>663.61</v>
      </c>
      <c r="G41" s="102">
        <v>597.51</v>
      </c>
      <c r="H41" s="99">
        <f t="shared" si="2"/>
        <v>90.039330329561025</v>
      </c>
    </row>
    <row r="42" spans="2:8" ht="21" customHeight="1" x14ac:dyDescent="0.25">
      <c r="B42" s="164" t="s">
        <v>149</v>
      </c>
      <c r="C42" s="164"/>
      <c r="D42" s="164"/>
      <c r="E42" s="7" t="s">
        <v>119</v>
      </c>
      <c r="F42" s="54">
        <v>66.36</v>
      </c>
      <c r="G42" s="102"/>
      <c r="H42" s="99">
        <f t="shared" si="2"/>
        <v>0</v>
      </c>
    </row>
    <row r="43" spans="2:8" ht="21.75" customHeight="1" x14ac:dyDescent="0.25">
      <c r="B43" s="162">
        <v>3291</v>
      </c>
      <c r="C43" s="162"/>
      <c r="D43" s="162"/>
      <c r="E43" s="7" t="s">
        <v>87</v>
      </c>
      <c r="F43" s="54">
        <v>2521.73</v>
      </c>
      <c r="G43" s="102">
        <v>1676.98</v>
      </c>
      <c r="H43" s="99">
        <f t="shared" si="2"/>
        <v>66.501171814587607</v>
      </c>
    </row>
    <row r="44" spans="2:8" ht="21" customHeight="1" x14ac:dyDescent="0.25">
      <c r="B44" s="162">
        <v>3293</v>
      </c>
      <c r="C44" s="162"/>
      <c r="D44" s="162"/>
      <c r="E44" s="7" t="s">
        <v>88</v>
      </c>
      <c r="F44" s="54">
        <v>2132.7199999999998</v>
      </c>
      <c r="G44" s="102">
        <v>1434.17</v>
      </c>
      <c r="H44" s="99">
        <f t="shared" si="2"/>
        <v>67.246051989947119</v>
      </c>
    </row>
    <row r="45" spans="2:8" ht="21" customHeight="1" x14ac:dyDescent="0.25">
      <c r="B45" s="162">
        <v>3294</v>
      </c>
      <c r="C45" s="162"/>
      <c r="D45" s="162"/>
      <c r="E45" s="7" t="s">
        <v>120</v>
      </c>
      <c r="F45" s="54">
        <v>13.27</v>
      </c>
      <c r="G45" s="102">
        <v>13.27</v>
      </c>
      <c r="H45" s="99">
        <f t="shared" si="2"/>
        <v>100</v>
      </c>
    </row>
    <row r="46" spans="2:8" ht="21" customHeight="1" x14ac:dyDescent="0.25">
      <c r="B46" s="162">
        <v>3295</v>
      </c>
      <c r="C46" s="162"/>
      <c r="D46" s="162"/>
      <c r="E46" s="7" t="s">
        <v>89</v>
      </c>
      <c r="F46" s="54">
        <v>132.72</v>
      </c>
      <c r="G46" s="102">
        <v>127.44</v>
      </c>
      <c r="H46" s="99">
        <f t="shared" si="2"/>
        <v>96.021699819168177</v>
      </c>
    </row>
    <row r="47" spans="2:8" ht="21" customHeight="1" x14ac:dyDescent="0.25">
      <c r="B47" s="162">
        <v>3299</v>
      </c>
      <c r="C47" s="162"/>
      <c r="D47" s="162"/>
      <c r="E47" s="7" t="s">
        <v>86</v>
      </c>
      <c r="F47" s="54">
        <v>199.08</v>
      </c>
      <c r="G47" s="102"/>
      <c r="H47" s="99">
        <f t="shared" si="2"/>
        <v>0</v>
      </c>
    </row>
    <row r="48" spans="2:8" ht="21" customHeight="1" x14ac:dyDescent="0.25">
      <c r="B48" s="164" t="s">
        <v>122</v>
      </c>
      <c r="C48" s="164"/>
      <c r="D48" s="164"/>
      <c r="E48" s="76" t="s">
        <v>128</v>
      </c>
      <c r="F48" s="54">
        <f>F49</f>
        <v>929.06000000000006</v>
      </c>
      <c r="G48" s="102">
        <f t="shared" ref="G48" si="6">G49</f>
        <v>786.28</v>
      </c>
      <c r="H48" s="99">
        <f t="shared" si="2"/>
        <v>84.631778356618511</v>
      </c>
    </row>
    <row r="49" spans="2:8" s="34" customFormat="1" ht="21" customHeight="1" x14ac:dyDescent="0.25">
      <c r="B49" s="163">
        <v>34</v>
      </c>
      <c r="C49" s="163"/>
      <c r="D49" s="163"/>
      <c r="E49" s="33" t="s">
        <v>90</v>
      </c>
      <c r="F49" s="63">
        <f>F50+F51+F52</f>
        <v>929.06000000000006</v>
      </c>
      <c r="G49" s="103">
        <f t="shared" ref="G49" si="7">G50+G51+G52</f>
        <v>786.28</v>
      </c>
      <c r="H49" s="98">
        <f t="shared" si="2"/>
        <v>84.631778356618511</v>
      </c>
    </row>
    <row r="50" spans="2:8" ht="21" customHeight="1" x14ac:dyDescent="0.25">
      <c r="B50" s="162">
        <v>3431</v>
      </c>
      <c r="C50" s="162"/>
      <c r="D50" s="162"/>
      <c r="E50" s="7" t="s">
        <v>92</v>
      </c>
      <c r="F50" s="54">
        <v>862.7</v>
      </c>
      <c r="G50" s="102">
        <v>773.27</v>
      </c>
      <c r="H50" s="99">
        <f t="shared" si="2"/>
        <v>89.633708125652007</v>
      </c>
    </row>
    <row r="51" spans="2:8" ht="21" customHeight="1" x14ac:dyDescent="0.25">
      <c r="B51" s="162">
        <v>3433</v>
      </c>
      <c r="C51" s="162"/>
      <c r="D51" s="162"/>
      <c r="E51" s="7" t="s">
        <v>93</v>
      </c>
      <c r="F51" s="54">
        <v>26.54</v>
      </c>
      <c r="G51" s="102">
        <v>13.01</v>
      </c>
      <c r="H51" s="99">
        <f t="shared" si="2"/>
        <v>49.02034664657122</v>
      </c>
    </row>
    <row r="52" spans="2:8" ht="21" customHeight="1" x14ac:dyDescent="0.25">
      <c r="B52" s="162">
        <v>3434</v>
      </c>
      <c r="C52" s="162"/>
      <c r="D52" s="162"/>
      <c r="E52" s="7" t="s">
        <v>94</v>
      </c>
      <c r="F52" s="54">
        <v>39.82</v>
      </c>
      <c r="G52" s="102"/>
      <c r="H52" s="99">
        <f t="shared" si="2"/>
        <v>0</v>
      </c>
    </row>
    <row r="53" spans="2:8" s="34" customFormat="1" ht="21" customHeight="1" x14ac:dyDescent="0.25">
      <c r="B53" s="166" t="s">
        <v>150</v>
      </c>
      <c r="C53" s="167"/>
      <c r="D53" s="168"/>
      <c r="E53" s="117" t="s">
        <v>151</v>
      </c>
      <c r="F53" s="118">
        <f>F55</f>
        <v>5889.01</v>
      </c>
      <c r="G53" s="119">
        <f t="shared" ref="G53" si="8">G55</f>
        <v>3253.87</v>
      </c>
      <c r="H53" s="116">
        <f t="shared" si="2"/>
        <v>55.253259885787251</v>
      </c>
    </row>
    <row r="54" spans="2:8" s="34" customFormat="1" ht="21" customHeight="1" x14ac:dyDescent="0.25">
      <c r="B54" s="164" t="s">
        <v>122</v>
      </c>
      <c r="C54" s="164"/>
      <c r="D54" s="164"/>
      <c r="E54" s="76" t="s">
        <v>128</v>
      </c>
      <c r="F54" s="54">
        <f>F55</f>
        <v>5889.01</v>
      </c>
      <c r="G54" s="103">
        <f>G55</f>
        <v>3253.87</v>
      </c>
      <c r="H54" s="99">
        <f t="shared" si="2"/>
        <v>55.253259885787251</v>
      </c>
    </row>
    <row r="55" spans="2:8" s="34" customFormat="1" ht="26.25" x14ac:dyDescent="0.25">
      <c r="B55" s="163">
        <v>42</v>
      </c>
      <c r="C55" s="163"/>
      <c r="D55" s="163"/>
      <c r="E55" s="94" t="s">
        <v>111</v>
      </c>
      <c r="F55" s="63">
        <f>F56+F57</f>
        <v>5889.01</v>
      </c>
      <c r="G55" s="103">
        <f>G56+G57</f>
        <v>3253.87</v>
      </c>
      <c r="H55" s="98">
        <f t="shared" si="2"/>
        <v>55.253259885787251</v>
      </c>
    </row>
    <row r="56" spans="2:8" ht="21.75" customHeight="1" x14ac:dyDescent="0.25">
      <c r="B56" s="162">
        <v>4221</v>
      </c>
      <c r="C56" s="162"/>
      <c r="D56" s="162"/>
      <c r="E56" s="76" t="s">
        <v>114</v>
      </c>
      <c r="F56" s="54">
        <v>4429.0600000000004</v>
      </c>
      <c r="G56" s="102">
        <v>1608.75</v>
      </c>
      <c r="H56" s="99">
        <f t="shared" si="2"/>
        <v>36.322605699629264</v>
      </c>
    </row>
    <row r="57" spans="2:8" ht="21" customHeight="1" x14ac:dyDescent="0.25">
      <c r="B57" s="162">
        <v>4227</v>
      </c>
      <c r="C57" s="162"/>
      <c r="D57" s="162"/>
      <c r="E57" s="76" t="s">
        <v>115</v>
      </c>
      <c r="F57" s="54">
        <v>1459.95</v>
      </c>
      <c r="G57" s="102">
        <v>1645.12</v>
      </c>
      <c r="H57" s="99">
        <f t="shared" si="2"/>
        <v>112.68331107229699</v>
      </c>
    </row>
    <row r="58" spans="2:8" x14ac:dyDescent="0.25">
      <c r="F58" s="87"/>
      <c r="G58" s="87"/>
      <c r="H58" s="87"/>
    </row>
    <row r="59" spans="2:8" x14ac:dyDescent="0.25">
      <c r="F59" s="87"/>
      <c r="G59" s="87"/>
    </row>
    <row r="60" spans="2:8" x14ac:dyDescent="0.25">
      <c r="F60" s="87"/>
      <c r="G60" s="87"/>
    </row>
    <row r="61" spans="2:8" x14ac:dyDescent="0.25">
      <c r="F61" s="87"/>
      <c r="G61" s="87"/>
    </row>
    <row r="62" spans="2:8" x14ac:dyDescent="0.25">
      <c r="F62" s="87"/>
      <c r="G62" s="87"/>
    </row>
    <row r="63" spans="2:8" x14ac:dyDescent="0.25">
      <c r="F63" s="87"/>
      <c r="G63" s="87"/>
    </row>
  </sheetData>
  <mergeCells count="50">
    <mergeCell ref="B4:H4"/>
    <mergeCell ref="B12:D12"/>
    <mergeCell ref="B6:H6"/>
    <mergeCell ref="B9:E9"/>
    <mergeCell ref="B10:E10"/>
    <mergeCell ref="B11:D11"/>
    <mergeCell ref="B13:D13"/>
    <mergeCell ref="B14:D14"/>
    <mergeCell ref="B17:D17"/>
    <mergeCell ref="B19:D19"/>
    <mergeCell ref="B18:D18"/>
    <mergeCell ref="B36:D36"/>
    <mergeCell ref="B37:D37"/>
    <mergeCell ref="B38:D38"/>
    <mergeCell ref="B39:D39"/>
    <mergeCell ref="B20:D20"/>
    <mergeCell ref="B21:D21"/>
    <mergeCell ref="B22:D22"/>
    <mergeCell ref="B23:D23"/>
    <mergeCell ref="B24:D24"/>
    <mergeCell ref="B32:D32"/>
    <mergeCell ref="B30:D30"/>
    <mergeCell ref="B33:D33"/>
    <mergeCell ref="B34:D34"/>
    <mergeCell ref="B35:D35"/>
    <mergeCell ref="B57:D57"/>
    <mergeCell ref="B53:D53"/>
    <mergeCell ref="B54:D54"/>
    <mergeCell ref="B45:D45"/>
    <mergeCell ref="B46:D46"/>
    <mergeCell ref="B47:D47"/>
    <mergeCell ref="B49:D49"/>
    <mergeCell ref="B50:D50"/>
    <mergeCell ref="B48:D48"/>
    <mergeCell ref="B2:H2"/>
    <mergeCell ref="B51:D51"/>
    <mergeCell ref="B52:D52"/>
    <mergeCell ref="B55:D55"/>
    <mergeCell ref="B56:D56"/>
    <mergeCell ref="B40:D40"/>
    <mergeCell ref="B41:D41"/>
    <mergeCell ref="B42:D42"/>
    <mergeCell ref="B44:D44"/>
    <mergeCell ref="B43:D43"/>
    <mergeCell ref="B25:D25"/>
    <mergeCell ref="B26:D26"/>
    <mergeCell ref="B27:D27"/>
    <mergeCell ref="B28:D28"/>
    <mergeCell ref="B29:D29"/>
    <mergeCell ref="B31:D31"/>
  </mergeCells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2E47-BFF8-4CCD-8CEB-DD69BC85469A}">
  <dimension ref="A2:N100"/>
  <sheetViews>
    <sheetView topLeftCell="A88" workbookViewId="0">
      <selection activeCell="C109" sqref="C109"/>
    </sheetView>
  </sheetViews>
  <sheetFormatPr defaultRowHeight="15" x14ac:dyDescent="0.25"/>
  <cols>
    <col min="14" max="14" width="9.140625" customWidth="1"/>
  </cols>
  <sheetData>
    <row r="2" spans="1:14" x14ac:dyDescent="0.25">
      <c r="A2" s="183" t="s">
        <v>163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4" spans="1:14" x14ac:dyDescent="0.25">
      <c r="A4" s="187" t="s">
        <v>164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6" spans="1:14" x14ac:dyDescent="0.2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x14ac:dyDescent="0.25">
      <c r="A7" s="184" t="s">
        <v>204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x14ac:dyDescent="0.25">
      <c r="A8" s="184" t="s">
        <v>201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</row>
    <row r="9" spans="1:14" x14ac:dyDescent="0.25">
      <c r="A9" s="184" t="s">
        <v>202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</row>
    <row r="11" spans="1:14" x14ac:dyDescent="0.25">
      <c r="A11" s="184" t="s">
        <v>191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x14ac:dyDescent="0.25">
      <c r="A12" s="184" t="s">
        <v>203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</row>
    <row r="14" spans="1:14" x14ac:dyDescent="0.25">
      <c r="A14" s="183" t="s">
        <v>166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</row>
    <row r="16" spans="1:14" s="122" customFormat="1" x14ac:dyDescent="0.2">
      <c r="A16" s="187" t="s">
        <v>165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</row>
    <row r="18" spans="1:14" x14ac:dyDescent="0.25">
      <c r="A18" t="s">
        <v>224</v>
      </c>
    </row>
    <row r="19" spans="1:14" x14ac:dyDescent="0.25">
      <c r="A19" s="184" t="s">
        <v>221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</row>
    <row r="20" spans="1:14" x14ac:dyDescent="0.25">
      <c r="A20" t="s">
        <v>223</v>
      </c>
    </row>
    <row r="21" spans="1:14" x14ac:dyDescent="0.25">
      <c r="A21" t="s">
        <v>222</v>
      </c>
    </row>
    <row r="23" spans="1:14" x14ac:dyDescent="0.25">
      <c r="A23" s="184" t="s">
        <v>205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</row>
    <row r="24" spans="1:14" x14ac:dyDescent="0.25">
      <c r="A24" s="184" t="s">
        <v>167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</row>
    <row r="25" spans="1:14" x14ac:dyDescent="0.25">
      <c r="A25" s="184" t="s">
        <v>206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</row>
    <row r="27" spans="1:14" x14ac:dyDescent="0.25">
      <c r="A27" s="184" t="s">
        <v>207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</row>
    <row r="28" spans="1:14" x14ac:dyDescent="0.25">
      <c r="A28" s="184" t="s">
        <v>208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</row>
    <row r="30" spans="1:14" x14ac:dyDescent="0.25">
      <c r="A30" s="183" t="s">
        <v>168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</row>
    <row r="32" spans="1:14" s="121" customFormat="1" x14ac:dyDescent="0.2">
      <c r="A32" s="187" t="s">
        <v>169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</row>
    <row r="34" spans="1:14" x14ac:dyDescent="0.25">
      <c r="A34" s="184" t="s">
        <v>218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1:14" x14ac:dyDescent="0.25">
      <c r="A35" s="184" t="s">
        <v>217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1:14" x14ac:dyDescent="0.25">
      <c r="A36" s="184" t="s">
        <v>171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</row>
    <row r="37" spans="1:14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x14ac:dyDescent="0.25">
      <c r="A38" s="184" t="s">
        <v>209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</row>
    <row r="39" spans="1:14" x14ac:dyDescent="0.25">
      <c r="A39" s="184" t="s">
        <v>172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</row>
    <row r="40" spans="1:14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</row>
    <row r="41" spans="1:14" x14ac:dyDescent="0.25">
      <c r="A41" t="s">
        <v>219</v>
      </c>
    </row>
    <row r="42" spans="1:14" x14ac:dyDescent="0.25">
      <c r="A42" s="184" t="s">
        <v>173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</row>
    <row r="43" spans="1:14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</row>
    <row r="44" spans="1:14" x14ac:dyDescent="0.25">
      <c r="A44" t="s">
        <v>220</v>
      </c>
    </row>
    <row r="45" spans="1:14" x14ac:dyDescent="0.25">
      <c r="A45" s="184" t="s">
        <v>174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</row>
    <row r="46" spans="1:14" x14ac:dyDescent="0.2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x14ac:dyDescent="0.25">
      <c r="A47" s="183" t="s">
        <v>170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</row>
    <row r="49" spans="1:14" x14ac:dyDescent="0.25">
      <c r="A49" s="187" t="s">
        <v>175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</row>
    <row r="50" spans="1:14" ht="16.5" x14ac:dyDescent="0.2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</row>
    <row r="51" spans="1:14" x14ac:dyDescent="0.25">
      <c r="A51" s="110" t="s">
        <v>192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</row>
    <row r="52" spans="1:14" x14ac:dyDescent="0.2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</row>
    <row r="53" spans="1:14" x14ac:dyDescent="0.25">
      <c r="A53" s="183" t="s">
        <v>176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</row>
    <row r="54" spans="1:14" x14ac:dyDescent="0.2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4" x14ac:dyDescent="0.25">
      <c r="A55" s="187" t="s">
        <v>177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</row>
    <row r="57" spans="1:14" x14ac:dyDescent="0.25">
      <c r="A57" s="125" t="s">
        <v>193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1:14" x14ac:dyDescent="0.25">
      <c r="A58" s="110" t="s">
        <v>178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</row>
    <row r="60" spans="1:14" x14ac:dyDescent="0.25">
      <c r="A60" s="183" t="s">
        <v>180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</row>
    <row r="62" spans="1:14" x14ac:dyDescent="0.25">
      <c r="A62" s="187" t="s">
        <v>179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</row>
    <row r="64" spans="1:14" x14ac:dyDescent="0.25">
      <c r="A64" s="188" t="s">
        <v>194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</row>
    <row r="66" spans="1:14" x14ac:dyDescent="0.25">
      <c r="A66" s="183" t="s">
        <v>181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</row>
    <row r="68" spans="1:14" x14ac:dyDescent="0.25">
      <c r="A68" s="187" t="s">
        <v>182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</row>
    <row r="70" spans="1:14" x14ac:dyDescent="0.25">
      <c r="A70" s="184" t="s">
        <v>210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</row>
    <row r="71" spans="1:14" x14ac:dyDescent="0.25">
      <c r="A71" s="184" t="s">
        <v>211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</row>
    <row r="72" spans="1:14" x14ac:dyDescent="0.25">
      <c r="A72" s="184" t="s">
        <v>212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</row>
    <row r="73" spans="1:14" x14ac:dyDescent="0.25">
      <c r="A73" s="184" t="s">
        <v>213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</row>
    <row r="75" spans="1:14" x14ac:dyDescent="0.25">
      <c r="A75" s="186" t="s">
        <v>214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</row>
    <row r="76" spans="1:14" x14ac:dyDescent="0.25">
      <c r="A76" s="184" t="s">
        <v>215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</row>
    <row r="78" spans="1:14" x14ac:dyDescent="0.25">
      <c r="A78" s="186" t="s">
        <v>216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</row>
    <row r="80" spans="1:14" x14ac:dyDescent="0.25">
      <c r="A80" s="183" t="s">
        <v>183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</row>
    <row r="81" spans="1:14" x14ac:dyDescent="0.2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14" x14ac:dyDescent="0.25">
      <c r="A82" s="187" t="s">
        <v>184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</row>
    <row r="83" spans="1:14" ht="16.5" x14ac:dyDescent="0.25">
      <c r="A83" s="123"/>
    </row>
    <row r="84" spans="1:14" x14ac:dyDescent="0.25">
      <c r="A84" s="184" t="s">
        <v>195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</row>
    <row r="86" spans="1:14" ht="15.75" x14ac:dyDescent="0.25">
      <c r="A86" s="185" t="s">
        <v>186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</row>
    <row r="88" spans="1:14" x14ac:dyDescent="0.25">
      <c r="A88" s="183" t="s">
        <v>185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</row>
    <row r="90" spans="1:14" x14ac:dyDescent="0.25">
      <c r="A90" s="184" t="s">
        <v>225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</row>
    <row r="91" spans="1:14" x14ac:dyDescent="0.25">
      <c r="A91" t="s">
        <v>226</v>
      </c>
    </row>
    <row r="94" spans="1:14" x14ac:dyDescent="0.25">
      <c r="A94" s="182" t="s">
        <v>187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</row>
    <row r="95" spans="1:14" x14ac:dyDescent="0.25">
      <c r="A95" s="182" t="s">
        <v>188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</row>
    <row r="97" spans="1:14" x14ac:dyDescent="0.25">
      <c r="A97" s="128" t="s">
        <v>229</v>
      </c>
    </row>
    <row r="98" spans="1:14" x14ac:dyDescent="0.25">
      <c r="A98" s="128" t="s">
        <v>234</v>
      </c>
    </row>
    <row r="99" spans="1:14" x14ac:dyDescent="0.25">
      <c r="A99" t="s">
        <v>230</v>
      </c>
      <c r="K99" s="182" t="s">
        <v>189</v>
      </c>
      <c r="L99" s="182"/>
      <c r="M99" s="182"/>
      <c r="N99" s="182"/>
    </row>
    <row r="100" spans="1:14" x14ac:dyDescent="0.25">
      <c r="K100" s="182" t="s">
        <v>190</v>
      </c>
      <c r="L100" s="182"/>
      <c r="M100" s="182"/>
      <c r="N100" s="182"/>
    </row>
  </sheetData>
  <mergeCells count="51">
    <mergeCell ref="A27:N27"/>
    <mergeCell ref="A28:N28"/>
    <mergeCell ref="A30:N30"/>
    <mergeCell ref="A32:N32"/>
    <mergeCell ref="A47:N47"/>
    <mergeCell ref="A34:N34"/>
    <mergeCell ref="A38:N38"/>
    <mergeCell ref="A35:N35"/>
    <mergeCell ref="A36:N36"/>
    <mergeCell ref="A39:N39"/>
    <mergeCell ref="A42:N42"/>
    <mergeCell ref="A45:N45"/>
    <mergeCell ref="A23:N23"/>
    <mergeCell ref="A24:N24"/>
    <mergeCell ref="A25:N25"/>
    <mergeCell ref="A9:N9"/>
    <mergeCell ref="A11:N11"/>
    <mergeCell ref="A12:N12"/>
    <mergeCell ref="A14:N14"/>
    <mergeCell ref="A16:N16"/>
    <mergeCell ref="A19:N19"/>
    <mergeCell ref="A2:N2"/>
    <mergeCell ref="A4:N4"/>
    <mergeCell ref="A6:N6"/>
    <mergeCell ref="A7:N7"/>
    <mergeCell ref="A8:N8"/>
    <mergeCell ref="A60:N60"/>
    <mergeCell ref="A62:N62"/>
    <mergeCell ref="A64:N64"/>
    <mergeCell ref="A66:N66"/>
    <mergeCell ref="A49:N49"/>
    <mergeCell ref="A53:N53"/>
    <mergeCell ref="A55:N55"/>
    <mergeCell ref="A68:N68"/>
    <mergeCell ref="A70:N70"/>
    <mergeCell ref="A71:N71"/>
    <mergeCell ref="A72:N72"/>
    <mergeCell ref="A73:N73"/>
    <mergeCell ref="A75:N75"/>
    <mergeCell ref="A76:N76"/>
    <mergeCell ref="A78:N78"/>
    <mergeCell ref="A80:N80"/>
    <mergeCell ref="A84:N84"/>
    <mergeCell ref="A82:N82"/>
    <mergeCell ref="K99:N99"/>
    <mergeCell ref="K100:N100"/>
    <mergeCell ref="A88:N88"/>
    <mergeCell ref="A90:N90"/>
    <mergeCell ref="A86:N86"/>
    <mergeCell ref="A94:N94"/>
    <mergeCell ref="A95:N95"/>
  </mergeCells>
  <pageMargins left="0.9055118110236221" right="0.51181102362204722" top="0.55118110236220474" bottom="0.55118110236220474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Obrazloženja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DV KOŠUTICA FERDINANDOVAC</cp:lastModifiedBy>
  <cp:lastPrinted>2024-03-12T09:06:40Z</cp:lastPrinted>
  <dcterms:created xsi:type="dcterms:W3CDTF">2022-08-12T12:51:27Z</dcterms:created>
  <dcterms:modified xsi:type="dcterms:W3CDTF">2024-03-12T09:22:13Z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