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Radna površina Helena\JUO\e-savjetovanja\2025\prijedlog proračuna 2026\"/>
    </mc:Choice>
  </mc:AlternateContent>
  <xr:revisionPtr revIDLastSave="0" documentId="13_ncr:1_{9274508A-21D7-4FA3-9954-9913DD71E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Prenesena sredstva" sheetId="15" r:id="rId6"/>
    <sheet name="POSEBNI DIO" sheetId="7" r:id="rId7"/>
    <sheet name="Plan prihoda RADNI" sheetId="17" state="hidden" r:id="rId8"/>
    <sheet name="plan rashoda RADNI" sheetId="16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1" l="1"/>
  <c r="F54" i="11"/>
  <c r="E63" i="11"/>
  <c r="F63" i="11"/>
  <c r="E73" i="11"/>
  <c r="F78" i="11"/>
  <c r="F73" i="11" s="1"/>
  <c r="F28" i="11"/>
  <c r="F19" i="11" s="1"/>
  <c r="F15" i="11"/>
  <c r="G106" i="7"/>
  <c r="G389" i="7"/>
  <c r="F389" i="7"/>
  <c r="G110" i="7"/>
  <c r="G107" i="7"/>
  <c r="G105" i="7"/>
  <c r="F109" i="7"/>
  <c r="F105" i="7"/>
  <c r="G84" i="7"/>
  <c r="F90" i="7"/>
  <c r="F84" i="7" s="1"/>
  <c r="E90" i="7"/>
  <c r="G39" i="7"/>
  <c r="F39" i="7"/>
  <c r="G45" i="7"/>
  <c r="G37" i="7" s="1"/>
  <c r="G418" i="7"/>
  <c r="F45" i="7"/>
  <c r="F37" i="7" s="1"/>
  <c r="G44" i="7" l="1"/>
  <c r="G36" i="7" s="1"/>
  <c r="F44" i="7"/>
  <c r="F192" i="7"/>
  <c r="F108" i="7" s="1"/>
  <c r="G192" i="7"/>
  <c r="G108" i="7" s="1"/>
  <c r="G289" i="7"/>
  <c r="F110" i="7"/>
  <c r="D15" i="11"/>
  <c r="D32" i="11"/>
  <c r="E84" i="7"/>
  <c r="D54" i="11"/>
  <c r="D73" i="11"/>
  <c r="D63" i="11"/>
  <c r="E35" i="7"/>
  <c r="E389" i="7"/>
  <c r="E44" i="7"/>
  <c r="E36" i="7" s="1"/>
  <c r="E105" i="7"/>
  <c r="E39" i="7"/>
  <c r="E110" i="7"/>
  <c r="E109" i="7"/>
  <c r="E144" i="7"/>
  <c r="E145" i="7"/>
  <c r="E158" i="7"/>
  <c r="E159" i="7"/>
  <c r="E160" i="7"/>
  <c r="E130" i="7"/>
  <c r="E132" i="7"/>
  <c r="E133" i="7"/>
  <c r="E115" i="7"/>
  <c r="E116" i="7"/>
  <c r="E32" i="11"/>
  <c r="F32" i="11"/>
  <c r="F34" i="11"/>
  <c r="E34" i="11"/>
  <c r="D33" i="11"/>
  <c r="F33" i="11"/>
  <c r="E33" i="11"/>
  <c r="F326" i="7"/>
  <c r="G326" i="7"/>
  <c r="F10" i="11"/>
  <c r="E15" i="11"/>
  <c r="E10" i="11" s="1"/>
  <c r="E28" i="11"/>
  <c r="E19" i="11" s="1"/>
  <c r="D33" i="5"/>
  <c r="D26" i="5"/>
  <c r="F33" i="5"/>
  <c r="F26" i="5"/>
  <c r="F20" i="5"/>
  <c r="E20" i="5"/>
  <c r="E26" i="5"/>
  <c r="D20" i="5"/>
  <c r="D17" i="5"/>
  <c r="F23" i="5"/>
  <c r="E23" i="5"/>
  <c r="D23" i="5"/>
  <c r="F24" i="5"/>
  <c r="E24" i="5"/>
  <c r="D24" i="5"/>
  <c r="F16" i="5"/>
  <c r="E16" i="5"/>
  <c r="D16" i="5"/>
  <c r="F44" i="5"/>
  <c r="E44" i="5"/>
  <c r="D44" i="5"/>
  <c r="F39" i="5"/>
  <c r="E39" i="5"/>
  <c r="D39" i="5"/>
  <c r="D29" i="5"/>
  <c r="F28" i="5"/>
  <c r="E28" i="5"/>
  <c r="D28" i="5"/>
  <c r="F19" i="5"/>
  <c r="E19" i="5"/>
  <c r="D19" i="5"/>
  <c r="F45" i="5"/>
  <c r="E45" i="5"/>
  <c r="D45" i="5"/>
  <c r="F12" i="5"/>
  <c r="D12" i="5"/>
  <c r="E12" i="5"/>
  <c r="F10" i="5"/>
  <c r="E10" i="5"/>
  <c r="D10" i="5"/>
  <c r="K60" i="17"/>
  <c r="K11" i="17"/>
  <c r="L11" i="17"/>
  <c r="L3" i="17"/>
  <c r="K3" i="17"/>
  <c r="D42" i="5" l="1"/>
  <c r="E17" i="5"/>
  <c r="F17" i="5"/>
  <c r="E29" i="11"/>
  <c r="F29" i="11"/>
  <c r="F36" i="7"/>
  <c r="E104" i="7"/>
  <c r="E106" i="7"/>
  <c r="G299" i="7"/>
  <c r="G55" i="7"/>
  <c r="F412" i="7"/>
  <c r="G412" i="7"/>
  <c r="E412" i="7"/>
  <c r="F208" i="7"/>
  <c r="F204" i="7" s="1"/>
  <c r="F206" i="7" s="1"/>
  <c r="G208" i="7"/>
  <c r="G204" i="7" s="1"/>
  <c r="F215" i="7"/>
  <c r="F210" i="7" s="1"/>
  <c r="F212" i="7" s="1"/>
  <c r="G215" i="7"/>
  <c r="G210" i="7" s="1"/>
  <c r="F409" i="7"/>
  <c r="G226" i="7"/>
  <c r="G222" i="7" s="1"/>
  <c r="F226" i="7"/>
  <c r="F222" i="7" s="1"/>
  <c r="G311" i="7"/>
  <c r="G307" i="7" s="1"/>
  <c r="F407" i="7" l="1"/>
  <c r="G305" i="7"/>
  <c r="G301" i="7" s="1"/>
  <c r="G193" i="7"/>
  <c r="G187" i="7" s="1"/>
  <c r="G190" i="7" s="1"/>
  <c r="F193" i="7"/>
  <c r="F187" i="7" s="1"/>
  <c r="F191" i="7" s="1"/>
  <c r="F106" i="7" s="1"/>
  <c r="G202" i="7"/>
  <c r="G195" i="7" s="1"/>
  <c r="F202" i="7"/>
  <c r="F195" i="7" s="1"/>
  <c r="G171" i="7"/>
  <c r="G295" i="7"/>
  <c r="G297" i="7" s="1"/>
  <c r="G104" i="7" s="1"/>
  <c r="G220" i="7"/>
  <c r="G219" i="7" s="1"/>
  <c r="G109" i="7" s="1"/>
  <c r="F325" i="7"/>
  <c r="G325" i="7"/>
  <c r="G217" i="7" l="1"/>
  <c r="E317" i="7"/>
  <c r="H20" i="1"/>
  <c r="E333" i="7"/>
  <c r="E326" i="7" s="1"/>
  <c r="E372" i="7"/>
  <c r="E431" i="7"/>
  <c r="E420" i="7"/>
  <c r="E386" i="7"/>
  <c r="E349" i="7"/>
  <c r="E347" i="7"/>
  <c r="E339" i="7"/>
  <c r="E337" i="7"/>
  <c r="E336" i="7"/>
  <c r="E335" i="7"/>
  <c r="E321" i="7"/>
  <c r="E286" i="7"/>
  <c r="E261" i="7"/>
  <c r="E248" i="7"/>
  <c r="E243" i="7"/>
  <c r="E242" i="7" s="1"/>
  <c r="F242" i="7"/>
  <c r="G242" i="7"/>
  <c r="E208" i="7"/>
  <c r="E204" i="7" s="1"/>
  <c r="E206" i="7" s="1"/>
  <c r="E202" i="7"/>
  <c r="E195" i="7" s="1"/>
  <c r="E172" i="7"/>
  <c r="E155" i="7"/>
  <c r="E154" i="7" s="1"/>
  <c r="E150" i="7"/>
  <c r="E141" i="7"/>
  <c r="E135" i="7"/>
  <c r="F91" i="7"/>
  <c r="G91" i="7"/>
  <c r="E93" i="7"/>
  <c r="E91" i="7" s="1"/>
  <c r="E80" i="7"/>
  <c r="E62" i="7"/>
  <c r="E49" i="7"/>
  <c r="E48" i="7"/>
  <c r="E47" i="7"/>
  <c r="E32" i="7"/>
  <c r="E26" i="7"/>
  <c r="E25" i="7"/>
  <c r="E20" i="7"/>
  <c r="E19" i="7"/>
  <c r="E18" i="7"/>
  <c r="D28" i="11"/>
  <c r="D19" i="11" s="1"/>
  <c r="D10" i="11"/>
  <c r="D36" i="11"/>
  <c r="D34" i="11" s="1"/>
  <c r="D29" i="11" s="1"/>
  <c r="G390" i="16"/>
  <c r="G641" i="16"/>
  <c r="G128" i="16"/>
  <c r="G288" i="16"/>
  <c r="G113" i="16"/>
  <c r="G92" i="16"/>
  <c r="G32" i="16"/>
  <c r="I5" i="17"/>
  <c r="I81" i="17"/>
  <c r="G177" i="16" l="1"/>
  <c r="G619" i="16"/>
  <c r="G379" i="16"/>
  <c r="G367" i="16"/>
  <c r="G143" i="16"/>
  <c r="G316" i="16"/>
  <c r="I75" i="17"/>
  <c r="I60" i="17"/>
  <c r="I67" i="17"/>
  <c r="I38" i="17"/>
  <c r="I11" i="17" l="1"/>
  <c r="G697" i="16"/>
  <c r="I697" i="16"/>
  <c r="I3" i="17" l="1"/>
  <c r="G188" i="16"/>
  <c r="G186" i="16"/>
  <c r="I186" i="16"/>
  <c r="G78" i="16" l="1"/>
  <c r="J50" i="17"/>
  <c r="J71" i="17"/>
  <c r="J74" i="17"/>
  <c r="J73" i="17" s="1"/>
  <c r="J65" i="17"/>
  <c r="J62" i="17" s="1"/>
  <c r="J38" i="17"/>
  <c r="J11" i="17" s="1"/>
  <c r="J5" i="17"/>
  <c r="J7" i="17"/>
  <c r="H64" i="16"/>
  <c r="H63" i="16"/>
  <c r="H60" i="16"/>
  <c r="H59" i="16"/>
  <c r="H56" i="16"/>
  <c r="H257" i="16"/>
  <c r="H248" i="16"/>
  <c r="H249" i="16"/>
  <c r="H247" i="16"/>
  <c r="H243" i="16"/>
  <c r="H245" i="16"/>
  <c r="H334" i="16"/>
  <c r="H267" i="16"/>
  <c r="H318" i="16"/>
  <c r="H311" i="16"/>
  <c r="H146" i="16"/>
  <c r="H39" i="16"/>
  <c r="H718" i="16"/>
  <c r="H697" i="16"/>
  <c r="H675" i="16"/>
  <c r="H670" i="16"/>
  <c r="H669" i="16"/>
  <c r="H619" i="16"/>
  <c r="H595" i="16"/>
  <c r="H593" i="16" s="1"/>
  <c r="H570" i="16"/>
  <c r="H509" i="16"/>
  <c r="H500" i="16" s="1"/>
  <c r="H464" i="16"/>
  <c r="H442" i="16"/>
  <c r="H439" i="16"/>
  <c r="H399" i="16"/>
  <c r="H226" i="16"/>
  <c r="H202" i="16"/>
  <c r="H197" i="16" s="1"/>
  <c r="H186" i="16"/>
  <c r="H133" i="16"/>
  <c r="H130" i="16"/>
  <c r="H125" i="16"/>
  <c r="H103" i="16"/>
  <c r="H105" i="16"/>
  <c r="H102" i="16"/>
  <c r="H98" i="16"/>
  <c r="H78" i="16"/>
  <c r="H76" i="16"/>
  <c r="H170" i="16"/>
  <c r="H207" i="16"/>
  <c r="H716" i="16"/>
  <c r="H517" i="16"/>
  <c r="H476" i="16"/>
  <c r="H478" i="16"/>
  <c r="H450" i="16"/>
  <c r="H37" i="16"/>
  <c r="H19" i="16"/>
  <c r="H14" i="16"/>
  <c r="I555" i="16"/>
  <c r="G560" i="16"/>
  <c r="G574" i="16"/>
  <c r="G583" i="16"/>
  <c r="H51" i="16" l="1"/>
  <c r="H50" i="16" s="1"/>
  <c r="J3" i="17"/>
  <c r="J2" i="17" s="1"/>
  <c r="J77" i="17" s="1"/>
  <c r="J82" i="17" s="1"/>
  <c r="J85" i="17" s="1"/>
  <c r="H71" i="16"/>
  <c r="M442" i="16"/>
  <c r="J442" i="16"/>
  <c r="I405" i="16"/>
  <c r="J402" i="16"/>
  <c r="R399" i="16"/>
  <c r="M399" i="16"/>
  <c r="O399" i="16"/>
  <c r="K399" i="16"/>
  <c r="G205" i="16"/>
  <c r="G133" i="16"/>
  <c r="L133" i="16"/>
  <c r="J133" i="16"/>
  <c r="G125" i="16"/>
  <c r="I32" i="16"/>
  <c r="I118" i="16"/>
  <c r="I117" i="16"/>
  <c r="G115" i="16"/>
  <c r="P115" i="16"/>
  <c r="J107" i="16"/>
  <c r="G105" i="16"/>
  <c r="R105" i="16"/>
  <c r="N105" i="16"/>
  <c r="L105" i="16"/>
  <c r="G98" i="16"/>
  <c r="N98" i="16"/>
  <c r="N84" i="16"/>
  <c r="J76" i="16"/>
  <c r="L76" i="16"/>
  <c r="K76" i="16"/>
  <c r="I76" i="16"/>
  <c r="M76" i="16"/>
  <c r="N76" i="16"/>
  <c r="I14" i="16"/>
  <c r="G670" i="16"/>
  <c r="I191" i="16"/>
  <c r="K701" i="16"/>
  <c r="G76" i="16" l="1"/>
  <c r="L74" i="17"/>
  <c r="L73" i="17" s="1"/>
  <c r="L71" i="17"/>
  <c r="L62" i="17"/>
  <c r="L50" i="17"/>
  <c r="G293" i="7"/>
  <c r="G287" i="7" s="1"/>
  <c r="F293" i="7"/>
  <c r="F287" i="7" s="1"/>
  <c r="F289" i="7" s="1"/>
  <c r="E293" i="7"/>
  <c r="E287" i="7" s="1"/>
  <c r="E289" i="7" s="1"/>
  <c r="G67" i="7"/>
  <c r="G63" i="7" s="1"/>
  <c r="E67" i="7"/>
  <c r="E63" i="7" s="1"/>
  <c r="E65" i="7" s="1"/>
  <c r="C25" i="5"/>
  <c r="B13" i="5"/>
  <c r="C63" i="11"/>
  <c r="B63" i="11"/>
  <c r="C19" i="11"/>
  <c r="B19" i="11"/>
  <c r="B17" i="11"/>
  <c r="G413" i="7"/>
  <c r="F372" i="7"/>
  <c r="G372" i="7"/>
  <c r="E325" i="7"/>
  <c r="I80" i="16" l="1"/>
  <c r="G4" i="16"/>
  <c r="I83" i="17" s="1"/>
  <c r="L2" i="17"/>
  <c r="L77" i="17" s="1"/>
  <c r="L82" i="17" s="1"/>
  <c r="L85" i="17" s="1"/>
  <c r="F318" i="7" l="1"/>
  <c r="H33" i="3" l="1"/>
  <c r="G33" i="3"/>
  <c r="F33" i="3"/>
  <c r="E33" i="3"/>
  <c r="D33" i="3"/>
  <c r="E32" i="5"/>
  <c r="F32" i="5"/>
  <c r="D32" i="5"/>
  <c r="E37" i="5"/>
  <c r="F37" i="5"/>
  <c r="D37" i="5"/>
  <c r="F42" i="5"/>
  <c r="E42" i="5"/>
  <c r="F22" i="5"/>
  <c r="E22" i="5"/>
  <c r="D22" i="5"/>
  <c r="E9" i="5" l="1"/>
  <c r="F9" i="5"/>
  <c r="E25" i="5"/>
  <c r="F25" i="5"/>
  <c r="D9" i="5"/>
  <c r="D25" i="5"/>
  <c r="K50" i="17"/>
  <c r="I50" i="17"/>
  <c r="K62" i="17"/>
  <c r="I62" i="17"/>
  <c r="I71" i="17"/>
  <c r="K71" i="17"/>
  <c r="I74" i="17"/>
  <c r="I73" i="17" s="1"/>
  <c r="K74" i="17"/>
  <c r="K73" i="17" s="1"/>
  <c r="G338" i="7"/>
  <c r="E46" i="7"/>
  <c r="E178" i="7"/>
  <c r="E173" i="7" s="1"/>
  <c r="E346" i="7"/>
  <c r="E341" i="7" s="1"/>
  <c r="E344" i="7" s="1"/>
  <c r="F82" i="16"/>
  <c r="I2" i="17" l="1"/>
  <c r="I77" i="17" s="1"/>
  <c r="I82" i="17" s="1"/>
  <c r="I85" i="17" s="1"/>
  <c r="K2" i="17"/>
  <c r="K77" i="17" s="1"/>
  <c r="K82" i="17" s="1"/>
  <c r="K85" i="17" s="1"/>
  <c r="F733" i="16"/>
  <c r="F732" i="16" s="1"/>
  <c r="F731" i="16" s="1"/>
  <c r="F729" i="16" s="1"/>
  <c r="F727" i="16" s="1"/>
  <c r="F726" i="16" s="1"/>
  <c r="F722" i="16"/>
  <c r="F721" i="16" s="1"/>
  <c r="F720" i="16" s="1"/>
  <c r="F718" i="16" s="1"/>
  <c r="F716" i="16" s="1"/>
  <c r="F712" i="16"/>
  <c r="F711" i="16" s="1"/>
  <c r="F710" i="16" s="1"/>
  <c r="F708" i="16" s="1"/>
  <c r="F706" i="16" s="1"/>
  <c r="F698" i="16"/>
  <c r="F700" i="16"/>
  <c r="F703" i="16"/>
  <c r="F702" i="16" s="1"/>
  <c r="F688" i="16"/>
  <c r="F687" i="16" s="1"/>
  <c r="F686" i="16" s="1"/>
  <c r="F684" i="16" s="1"/>
  <c r="F680" i="16"/>
  <c r="F679" i="16" s="1"/>
  <c r="F658" i="16"/>
  <c r="F657" i="16" s="1"/>
  <c r="F656" i="16" s="1"/>
  <c r="F654" i="16" s="1"/>
  <c r="F652" i="16" s="1"/>
  <c r="F649" i="16"/>
  <c r="F648" i="16" s="1"/>
  <c r="F647" i="16" s="1"/>
  <c r="F645" i="16" s="1"/>
  <c r="F643" i="16" s="1"/>
  <c r="F640" i="16"/>
  <c r="F639" i="16" s="1"/>
  <c r="F638" i="16" s="1"/>
  <c r="F636" i="16" s="1"/>
  <c r="F634" i="16" s="1"/>
  <c r="F629" i="16"/>
  <c r="F628" i="16" s="1"/>
  <c r="F627" i="16" s="1"/>
  <c r="F625" i="16" s="1"/>
  <c r="F623" i="16" s="1"/>
  <c r="F618" i="16"/>
  <c r="F617" i="16" s="1"/>
  <c r="F620" i="16"/>
  <c r="F608" i="16"/>
  <c r="F607" i="16" s="1"/>
  <c r="F606" i="16" s="1"/>
  <c r="F604" i="16" s="1"/>
  <c r="F602" i="16" s="1"/>
  <c r="F599" i="16"/>
  <c r="F598" i="16" s="1"/>
  <c r="F597" i="16" s="1"/>
  <c r="F595" i="16" s="1"/>
  <c r="F591" i="16"/>
  <c r="F590" i="16" s="1"/>
  <c r="F589" i="16" s="1"/>
  <c r="F587" i="16" s="1"/>
  <c r="F573" i="16"/>
  <c r="F578" i="16"/>
  <c r="F577" i="16" s="1"/>
  <c r="F524" i="16"/>
  <c r="F526" i="16"/>
  <c r="F528" i="16"/>
  <c r="F531" i="16"/>
  <c r="F543" i="16"/>
  <c r="F552" i="16"/>
  <c r="F559" i="16"/>
  <c r="F558" i="16" s="1"/>
  <c r="F565" i="16"/>
  <c r="F564" i="16" s="1"/>
  <c r="F563" i="16" s="1"/>
  <c r="F504" i="16"/>
  <c r="F503" i="16" s="1"/>
  <c r="F502" i="16" s="1"/>
  <c r="F508" i="16"/>
  <c r="F510" i="16"/>
  <c r="F513" i="16"/>
  <c r="F512" i="16" s="1"/>
  <c r="F486" i="16"/>
  <c r="F485" i="16" s="1"/>
  <c r="F481" i="16" s="1"/>
  <c r="F475" i="16"/>
  <c r="F477" i="16"/>
  <c r="F463" i="16"/>
  <c r="F462" i="16" s="1"/>
  <c r="F461" i="16" s="1"/>
  <c r="F467" i="16"/>
  <c r="F466" i="16" s="1"/>
  <c r="F465" i="16" s="1"/>
  <c r="F454" i="16"/>
  <c r="F453" i="16" s="1"/>
  <c r="F452" i="16" s="1"/>
  <c r="F450" i="16" s="1"/>
  <c r="F438" i="16"/>
  <c r="F437" i="16" s="1"/>
  <c r="F445" i="16"/>
  <c r="F444" i="16" s="1"/>
  <c r="F413" i="16"/>
  <c r="F415" i="16"/>
  <c r="F389" i="16"/>
  <c r="F388" i="16" s="1"/>
  <c r="F387" i="16" s="1"/>
  <c r="F385" i="16" s="1"/>
  <c r="F382" i="16" s="1"/>
  <c r="F354" i="16"/>
  <c r="F353" i="16" s="1"/>
  <c r="F352" i="16" s="1"/>
  <c r="F350" i="16" s="1"/>
  <c r="F346" i="16"/>
  <c r="F345" i="16" s="1"/>
  <c r="F344" i="16" s="1"/>
  <c r="F342" i="16" s="1"/>
  <c r="F338" i="16"/>
  <c r="F337" i="16" s="1"/>
  <c r="F336" i="16" s="1"/>
  <c r="F334" i="16" s="1"/>
  <c r="F330" i="16"/>
  <c r="F329" i="16" s="1"/>
  <c r="F328" i="16" s="1"/>
  <c r="F326" i="16" s="1"/>
  <c r="F322" i="16"/>
  <c r="F321" i="16" s="1"/>
  <c r="F320" i="16" s="1"/>
  <c r="F318" i="16" s="1"/>
  <c r="F315" i="16"/>
  <c r="F314" i="16" s="1"/>
  <c r="F313" i="16" s="1"/>
  <c r="F311" i="16" s="1"/>
  <c r="F308" i="16"/>
  <c r="F307" i="16" s="1"/>
  <c r="F306" i="16" s="1"/>
  <c r="F304" i="16" s="1"/>
  <c r="F299" i="16"/>
  <c r="F298" i="16" s="1"/>
  <c r="F297" i="16" s="1"/>
  <c r="F295" i="16" s="1"/>
  <c r="F287" i="16"/>
  <c r="F289" i="16"/>
  <c r="F277" i="16"/>
  <c r="F279" i="16"/>
  <c r="F266" i="16"/>
  <c r="F268" i="16"/>
  <c r="F258" i="16"/>
  <c r="F241" i="16"/>
  <c r="F233" i="16"/>
  <c r="F232" i="16" s="1"/>
  <c r="F231" i="16" s="1"/>
  <c r="F229" i="16" s="1"/>
  <c r="F213" i="16"/>
  <c r="F212" i="16" s="1"/>
  <c r="F211" i="16" s="1"/>
  <c r="F209" i="16" s="1"/>
  <c r="F207" i="16" s="1"/>
  <c r="F201" i="16"/>
  <c r="F200" i="16" s="1"/>
  <c r="F185" i="16"/>
  <c r="F187" i="16"/>
  <c r="F190" i="16"/>
  <c r="F189" i="16" s="1"/>
  <c r="F176" i="16"/>
  <c r="F175" i="16" s="1"/>
  <c r="F174" i="16" s="1"/>
  <c r="F172" i="16" s="1"/>
  <c r="F170" i="16" s="1"/>
  <c r="F161" i="16"/>
  <c r="F150" i="16"/>
  <c r="F149" i="16" s="1"/>
  <c r="F148" i="16" s="1"/>
  <c r="F146" i="16" s="1"/>
  <c r="F142" i="16"/>
  <c r="F141" i="16" s="1"/>
  <c r="F140" i="16" s="1"/>
  <c r="F138" i="16" s="1"/>
  <c r="F79" i="16"/>
  <c r="F55" i="16"/>
  <c r="F31" i="16"/>
  <c r="F30" i="16" s="1"/>
  <c r="F35" i="16"/>
  <c r="F34" i="16" s="1"/>
  <c r="F13" i="16"/>
  <c r="F15" i="16"/>
  <c r="F18" i="16"/>
  <c r="F20" i="16"/>
  <c r="F23" i="16"/>
  <c r="F22" i="16" s="1"/>
  <c r="F96" i="16"/>
  <c r="F257" i="16"/>
  <c r="F256" i="16" s="1"/>
  <c r="F249" i="16"/>
  <c r="F246" i="16" s="1"/>
  <c r="F159" i="16"/>
  <c r="F158" i="16" s="1"/>
  <c r="F105" i="16"/>
  <c r="F93" i="16"/>
  <c r="F92" i="16"/>
  <c r="H60" i="17"/>
  <c r="H67" i="17"/>
  <c r="H70" i="17"/>
  <c r="H54" i="17"/>
  <c r="F674" i="16"/>
  <c r="F399" i="16"/>
  <c r="F398" i="16" s="1"/>
  <c r="F226" i="16"/>
  <c r="F225" i="16" s="1"/>
  <c r="F224" i="16" s="1"/>
  <c r="F223" i="16" s="1"/>
  <c r="F221" i="16" s="1"/>
  <c r="H81" i="17"/>
  <c r="H36" i="17"/>
  <c r="H13" i="17"/>
  <c r="H5" i="17"/>
  <c r="F125" i="16"/>
  <c r="F124" i="16" s="1"/>
  <c r="H14" i="17"/>
  <c r="F474" i="16" l="1"/>
  <c r="F473" i="16" s="1"/>
  <c r="F471" i="16" s="1"/>
  <c r="H50" i="17"/>
  <c r="F12" i="16"/>
  <c r="F265" i="16"/>
  <c r="F264" i="16" s="1"/>
  <c r="F262" i="16" s="1"/>
  <c r="F616" i="16"/>
  <c r="F614" i="16" s="1"/>
  <c r="F612" i="16" s="1"/>
  <c r="F611" i="16" s="1"/>
  <c r="F86" i="16"/>
  <c r="F523" i="16"/>
  <c r="F459" i="16"/>
  <c r="F286" i="16"/>
  <c r="F285" i="16" s="1"/>
  <c r="F283" i="16" s="1"/>
  <c r="F507" i="16"/>
  <c r="F506" i="16" s="1"/>
  <c r="F500" i="16" s="1"/>
  <c r="F498" i="16" s="1"/>
  <c r="F436" i="16"/>
  <c r="F434" i="16" s="1"/>
  <c r="F432" i="16" s="1"/>
  <c r="F572" i="16"/>
  <c r="F570" i="16" s="1"/>
  <c r="F568" i="16" s="1"/>
  <c r="F633" i="16"/>
  <c r="F157" i="16"/>
  <c r="F156" i="16" s="1"/>
  <c r="F154" i="16" s="1"/>
  <c r="F292" i="16"/>
  <c r="F255" i="16"/>
  <c r="F254" i="16" s="1"/>
  <c r="F252" i="16" s="1"/>
  <c r="F17" i="16"/>
  <c r="F29" i="16"/>
  <c r="F27" i="16" s="1"/>
  <c r="F276" i="16"/>
  <c r="F275" i="16" s="1"/>
  <c r="F273" i="16" s="1"/>
  <c r="F184" i="16"/>
  <c r="F183" i="16" s="1"/>
  <c r="F181" i="16" s="1"/>
  <c r="F179" i="16" s="1"/>
  <c r="F240" i="16"/>
  <c r="F239" i="16" s="1"/>
  <c r="F237" i="16" s="1"/>
  <c r="F412" i="16"/>
  <c r="F411" i="16" s="1"/>
  <c r="F409" i="16" s="1"/>
  <c r="F104" i="16"/>
  <c r="F448" i="16" l="1"/>
  <c r="F11" i="16"/>
  <c r="F9" i="16" s="1"/>
  <c r="F7" i="16" s="1"/>
  <c r="F218" i="16"/>
  <c r="H15" i="17"/>
  <c r="N115" i="16"/>
  <c r="I16" i="16" l="1"/>
  <c r="K22" i="16" l="1"/>
  <c r="I33" i="16"/>
  <c r="J59" i="16" l="1"/>
  <c r="N59" i="16"/>
  <c r="L59" i="16"/>
  <c r="F61" i="16"/>
  <c r="F63" i="16"/>
  <c r="F62" i="16" s="1"/>
  <c r="F78" i="16"/>
  <c r="F77" i="16" s="1"/>
  <c r="N78" i="16"/>
  <c r="L98" i="16"/>
  <c r="J98" i="16"/>
  <c r="I101" i="16"/>
  <c r="F101" i="16"/>
  <c r="J105" i="16"/>
  <c r="F107" i="16"/>
  <c r="I111" i="16"/>
  <c r="L115" i="16"/>
  <c r="J115" i="16"/>
  <c r="I122" i="16"/>
  <c r="N128" i="16"/>
  <c r="L128" i="16"/>
  <c r="J128" i="16"/>
  <c r="I129" i="16"/>
  <c r="F133" i="16"/>
  <c r="F132" i="16" s="1"/>
  <c r="F131" i="16" s="1"/>
  <c r="F205" i="16"/>
  <c r="F204" i="16" s="1"/>
  <c r="F203" i="16" s="1"/>
  <c r="F402" i="16"/>
  <c r="F401" i="16" s="1"/>
  <c r="F397" i="16" s="1"/>
  <c r="F405" i="16"/>
  <c r="F404" i="16" s="1"/>
  <c r="F403" i="16" s="1"/>
  <c r="I416" i="16"/>
  <c r="I440" i="16"/>
  <c r="J437" i="16"/>
  <c r="J436" i="16"/>
  <c r="F537" i="16"/>
  <c r="F536" i="16" s="1"/>
  <c r="F530" i="16" s="1"/>
  <c r="F522" i="16" s="1"/>
  <c r="F519" i="16" s="1"/>
  <c r="F517" i="16" s="1"/>
  <c r="F516" i="16" s="1"/>
  <c r="F671" i="16"/>
  <c r="F668" i="16" s="1"/>
  <c r="F667" i="16" s="1"/>
  <c r="F666" i="16" s="1"/>
  <c r="F664" i="16" s="1"/>
  <c r="J682" i="16"/>
  <c r="H252" i="16"/>
  <c r="H262" i="16"/>
  <c r="H273" i="16"/>
  <c r="H295" i="16"/>
  <c r="H292" i="16" s="1"/>
  <c r="H326" i="16"/>
  <c r="H342" i="16"/>
  <c r="H350" i="16"/>
  <c r="H481" i="16"/>
  <c r="H587" i="16"/>
  <c r="H568" i="16" s="1"/>
  <c r="H625" i="16"/>
  <c r="H623" i="16" s="1"/>
  <c r="H729" i="16"/>
  <c r="H727" i="16" s="1"/>
  <c r="H726" i="16" s="1"/>
  <c r="H471" i="16"/>
  <c r="H229" i="16"/>
  <c r="H692" i="16"/>
  <c r="H664" i="16"/>
  <c r="H662" i="16" s="1"/>
  <c r="H708" i="16"/>
  <c r="H706" i="16" s="1"/>
  <c r="H654" i="16"/>
  <c r="H652" i="16" s="1"/>
  <c r="H645" i="16"/>
  <c r="H643" i="16" s="1"/>
  <c r="H636" i="16"/>
  <c r="H634" i="16" s="1"/>
  <c r="H633" i="16" s="1"/>
  <c r="H614" i="16"/>
  <c r="H612" i="16" s="1"/>
  <c r="H611" i="16" s="1"/>
  <c r="H604" i="16"/>
  <c r="H602" i="16" s="1"/>
  <c r="H490" i="16"/>
  <c r="H498" i="16"/>
  <c r="H459" i="16"/>
  <c r="H448" i="16" s="1"/>
  <c r="H434" i="16"/>
  <c r="H432" i="16" s="1"/>
  <c r="H420" i="16"/>
  <c r="H409" i="16"/>
  <c r="H394" i="16"/>
  <c r="H392" i="16" s="1"/>
  <c r="H385" i="16"/>
  <c r="H382" i="16" s="1"/>
  <c r="H304" i="16"/>
  <c r="H283" i="16"/>
  <c r="H221" i="16"/>
  <c r="H194" i="16"/>
  <c r="H193" i="16" s="1"/>
  <c r="H181" i="16"/>
  <c r="H179" i="16" s="1"/>
  <c r="H138" i="16"/>
  <c r="H661" i="16" l="1"/>
  <c r="H516" i="16"/>
  <c r="F396" i="16"/>
  <c r="F394" i="16" s="1"/>
  <c r="F392" i="16" s="1"/>
  <c r="F217" i="16" s="1"/>
  <c r="F199" i="16"/>
  <c r="F197" i="16" s="1"/>
  <c r="F194" i="16" s="1"/>
  <c r="F193" i="16" s="1"/>
  <c r="F75" i="16"/>
  <c r="F74" i="16" s="1"/>
  <c r="H27" i="16"/>
  <c r="F97" i="16"/>
  <c r="F81" i="16" s="1"/>
  <c r="F59" i="16"/>
  <c r="F57" i="16" s="1"/>
  <c r="H154" i="16"/>
  <c r="H9" i="16"/>
  <c r="H237" i="16"/>
  <c r="H218" i="16" s="1"/>
  <c r="H217" i="16" s="1"/>
  <c r="H68" i="16" l="1"/>
  <c r="H67" i="16" s="1"/>
  <c r="H66" i="16" s="1"/>
  <c r="H7" i="16"/>
  <c r="H6" i="16" s="1"/>
  <c r="H5" i="16" s="1"/>
  <c r="F73" i="16"/>
  <c r="F71" i="16" s="1"/>
  <c r="F54" i="16"/>
  <c r="F53" i="16" s="1"/>
  <c r="F51" i="16" s="1"/>
  <c r="F50" i="16" s="1"/>
  <c r="F697" i="16"/>
  <c r="F696" i="16" s="1"/>
  <c r="F695" i="16" s="1"/>
  <c r="F694" i="16" s="1"/>
  <c r="F692" i="16" s="1"/>
  <c r="F662" i="16" s="1"/>
  <c r="F661" i="16" s="1"/>
  <c r="I701" i="16"/>
  <c r="I188" i="16"/>
  <c r="I704" i="16"/>
  <c r="K698" i="16"/>
  <c r="H3" i="17"/>
  <c r="H62" i="17"/>
  <c r="H71" i="17"/>
  <c r="H74" i="17"/>
  <c r="H73" i="17" s="1"/>
  <c r="G85" i="17"/>
  <c r="G81" i="17"/>
  <c r="G74" i="17"/>
  <c r="G73" i="17" s="1"/>
  <c r="G71" i="17"/>
  <c r="G70" i="17"/>
  <c r="G67" i="17"/>
  <c r="G60" i="17"/>
  <c r="G54" i="17"/>
  <c r="G44" i="17"/>
  <c r="G42" i="17"/>
  <c r="G41" i="17"/>
  <c r="G36" i="17"/>
  <c r="G19" i="17"/>
  <c r="G13" i="17"/>
  <c r="G5" i="17"/>
  <c r="G50" i="17" l="1"/>
  <c r="H4" i="16"/>
  <c r="F6" i="16"/>
  <c r="F5" i="16" s="1"/>
  <c r="F68" i="16"/>
  <c r="F67" i="16" s="1"/>
  <c r="F66" i="16" s="1"/>
  <c r="G62" i="17"/>
  <c r="G3" i="17"/>
  <c r="G11" i="17"/>
  <c r="F4" i="16" l="1"/>
  <c r="H83" i="17" s="1"/>
  <c r="H11" i="17"/>
  <c r="H2" i="17" s="1"/>
  <c r="H77" i="17" s="1"/>
  <c r="H82" i="17" s="1"/>
  <c r="Q8" i="17"/>
  <c r="G2" i="17"/>
  <c r="G77" i="17" s="1"/>
  <c r="G83" i="17" s="1"/>
  <c r="G87" i="17" s="1"/>
  <c r="H85" i="17" l="1"/>
  <c r="K17" i="16"/>
  <c r="N18" i="16" s="1"/>
  <c r="C42" i="5" l="1"/>
  <c r="B42" i="5"/>
  <c r="B25" i="5"/>
  <c r="D13" i="5"/>
  <c r="E13" i="5"/>
  <c r="F13" i="5"/>
  <c r="C13" i="5"/>
  <c r="C73" i="11"/>
  <c r="C37" i="5" l="1"/>
  <c r="B37" i="5"/>
  <c r="C32" i="5"/>
  <c r="B32" i="5"/>
  <c r="C30" i="5"/>
  <c r="D30" i="5"/>
  <c r="E30" i="5"/>
  <c r="F30" i="5"/>
  <c r="B30" i="5"/>
  <c r="C22" i="5"/>
  <c r="B22" i="5"/>
  <c r="C17" i="5"/>
  <c r="B17" i="5"/>
  <c r="F15" i="5"/>
  <c r="C15" i="5"/>
  <c r="D15" i="5"/>
  <c r="E15" i="5"/>
  <c r="B15" i="5"/>
  <c r="C9" i="5"/>
  <c r="B9" i="5"/>
  <c r="D8" i="5" l="1"/>
  <c r="F8" i="5"/>
  <c r="E8" i="5"/>
  <c r="B8" i="5"/>
  <c r="B73" i="11"/>
  <c r="C61" i="11"/>
  <c r="D61" i="11"/>
  <c r="D53" i="11" s="1"/>
  <c r="E61" i="11"/>
  <c r="F61" i="11"/>
  <c r="B61" i="11"/>
  <c r="C54" i="11"/>
  <c r="C29" i="11"/>
  <c r="B29" i="11"/>
  <c r="C17" i="11"/>
  <c r="D17" i="11"/>
  <c r="E17" i="11"/>
  <c r="E9" i="11" s="1"/>
  <c r="F17" i="11"/>
  <c r="F9" i="11" s="1"/>
  <c r="C10" i="11"/>
  <c r="C53" i="11" l="1"/>
  <c r="B53" i="11"/>
  <c r="D9" i="11"/>
  <c r="F53" i="11"/>
  <c r="E53" i="11"/>
  <c r="C9" i="11"/>
  <c r="B9" i="11"/>
  <c r="E10" i="3" l="1"/>
  <c r="F10" i="3"/>
  <c r="G10" i="3"/>
  <c r="H10" i="3"/>
  <c r="D10" i="3"/>
  <c r="H16" i="1" l="1"/>
  <c r="F17" i="7"/>
  <c r="F46" i="7" l="1"/>
  <c r="G46" i="7"/>
  <c r="F154" i="7"/>
  <c r="G154" i="7"/>
  <c r="F73" i="7"/>
  <c r="G73" i="7"/>
  <c r="F279" i="7"/>
  <c r="G279" i="7"/>
  <c r="F234" i="7" l="1"/>
  <c r="G234" i="7"/>
  <c r="F61" i="7"/>
  <c r="G61" i="7"/>
  <c r="F79" i="7"/>
  <c r="G79" i="7"/>
  <c r="F86" i="7"/>
  <c r="F89" i="7" s="1"/>
  <c r="F83" i="7" s="1"/>
  <c r="G86" i="7"/>
  <c r="G89" i="7" s="1"/>
  <c r="G83" i="7" s="1"/>
  <c r="F99" i="7"/>
  <c r="F95" i="7" s="1"/>
  <c r="G99" i="7"/>
  <c r="G95" i="7" s="1"/>
  <c r="F120" i="7"/>
  <c r="G120" i="7"/>
  <c r="F126" i="7"/>
  <c r="G126" i="7"/>
  <c r="F134" i="7"/>
  <c r="F128" i="7" s="1"/>
  <c r="G134" i="7"/>
  <c r="G128" i="7" s="1"/>
  <c r="F140" i="7"/>
  <c r="F136" i="7" s="1"/>
  <c r="F138" i="7" s="1"/>
  <c r="G140" i="7"/>
  <c r="G136" i="7" s="1"/>
  <c r="G138" i="7" s="1"/>
  <c r="F149" i="7"/>
  <c r="F142" i="7" s="1"/>
  <c r="F144" i="7" s="1"/>
  <c r="G149" i="7"/>
  <c r="G142" i="7" s="1"/>
  <c r="G144" i="7" s="1"/>
  <c r="F161" i="7"/>
  <c r="G161" i="7"/>
  <c r="F247" i="7"/>
  <c r="G247" i="7"/>
  <c r="F253" i="7"/>
  <c r="G253" i="7"/>
  <c r="F260" i="7"/>
  <c r="G260" i="7"/>
  <c r="F277" i="7"/>
  <c r="G277" i="7"/>
  <c r="G285" i="7"/>
  <c r="G281" i="7" s="1"/>
  <c r="G283" i="7" s="1"/>
  <c r="F285" i="7"/>
  <c r="F281" i="7" s="1"/>
  <c r="G318" i="7"/>
  <c r="G320" i="7"/>
  <c r="F320" i="7"/>
  <c r="F334" i="7"/>
  <c r="G334" i="7"/>
  <c r="F338" i="7"/>
  <c r="F346" i="7"/>
  <c r="G346" i="7"/>
  <c r="F354" i="7"/>
  <c r="F351" i="7" s="1"/>
  <c r="F353" i="7" s="1"/>
  <c r="G354" i="7"/>
  <c r="G351" i="7" s="1"/>
  <c r="F361" i="7"/>
  <c r="G361" i="7"/>
  <c r="F367" i="7"/>
  <c r="G367" i="7"/>
  <c r="F378" i="7"/>
  <c r="G378" i="7"/>
  <c r="F385" i="7"/>
  <c r="G385" i="7"/>
  <c r="F396" i="7"/>
  <c r="G396" i="7"/>
  <c r="F402" i="7"/>
  <c r="F401" i="7" s="1"/>
  <c r="G402" i="7"/>
  <c r="G401" i="7" s="1"/>
  <c r="F408" i="7"/>
  <c r="G408" i="7"/>
  <c r="F419" i="7"/>
  <c r="G419" i="7"/>
  <c r="F425" i="7"/>
  <c r="F424" i="7" s="1"/>
  <c r="G425" i="7"/>
  <c r="G424" i="7" s="1"/>
  <c r="F430" i="7"/>
  <c r="F429" i="7" s="1"/>
  <c r="F413" i="7" s="1"/>
  <c r="F437" i="7"/>
  <c r="F436" i="7" s="1"/>
  <c r="G437" i="7"/>
  <c r="G436" i="7" s="1"/>
  <c r="F443" i="7"/>
  <c r="F442" i="7" s="1"/>
  <c r="G443" i="7"/>
  <c r="G442" i="7" s="1"/>
  <c r="F451" i="7"/>
  <c r="F450" i="7" s="1"/>
  <c r="F446" i="7" s="1"/>
  <c r="G451" i="7"/>
  <c r="G450" i="7" s="1"/>
  <c r="G446" i="7" s="1"/>
  <c r="E451" i="7"/>
  <c r="E450" i="7" s="1"/>
  <c r="E446" i="7" s="1"/>
  <c r="E443" i="7"/>
  <c r="E442" i="7" s="1"/>
  <c r="E437" i="7"/>
  <c r="E436" i="7" s="1"/>
  <c r="E430" i="7"/>
  <c r="E429" i="7" s="1"/>
  <c r="E425" i="7"/>
  <c r="E424" i="7" s="1"/>
  <c r="E419" i="7"/>
  <c r="E408" i="7"/>
  <c r="E402" i="7"/>
  <c r="E401" i="7" s="1"/>
  <c r="E396" i="7"/>
  <c r="E385" i="7"/>
  <c r="E384" i="7" s="1"/>
  <c r="E378" i="7"/>
  <c r="E376" i="7" s="1"/>
  <c r="E367" i="7"/>
  <c r="E361" i="7"/>
  <c r="E354" i="7"/>
  <c r="E351" i="7" s="1"/>
  <c r="E338" i="7"/>
  <c r="E334" i="7"/>
  <c r="E320" i="7"/>
  <c r="E318" i="7"/>
  <c r="E285" i="7"/>
  <c r="E279" i="7"/>
  <c r="E277" i="7"/>
  <c r="E269" i="7"/>
  <c r="E260" i="7"/>
  <c r="E253" i="7"/>
  <c r="E249" i="7" s="1"/>
  <c r="E247" i="7"/>
  <c r="E244" i="7" s="1"/>
  <c r="E246" i="7" s="1"/>
  <c r="E234" i="7"/>
  <c r="E215" i="7"/>
  <c r="E210" i="7" s="1"/>
  <c r="E212" i="7" s="1"/>
  <c r="E193" i="7"/>
  <c r="E187" i="7" s="1"/>
  <c r="E185" i="7"/>
  <c r="E171" i="7"/>
  <c r="E161" i="7"/>
  <c r="E149" i="7"/>
  <c r="E142" i="7" s="1"/>
  <c r="E140" i="7"/>
  <c r="E136" i="7" s="1"/>
  <c r="E138" i="7" s="1"/>
  <c r="E134" i="7"/>
  <c r="E128" i="7" s="1"/>
  <c r="E126" i="7"/>
  <c r="E122" i="7" s="1"/>
  <c r="E120" i="7"/>
  <c r="E99" i="7"/>
  <c r="E95" i="7" s="1"/>
  <c r="E97" i="7" s="1"/>
  <c r="E83" i="7" s="1"/>
  <c r="E86" i="7"/>
  <c r="E79" i="7"/>
  <c r="E76" i="7" s="1"/>
  <c r="E78" i="7" s="1"/>
  <c r="E38" i="7" s="1"/>
  <c r="E73" i="7"/>
  <c r="E61" i="7"/>
  <c r="E57" i="7" s="1"/>
  <c r="E413" i="7" l="1"/>
  <c r="E371" i="7"/>
  <c r="G249" i="7"/>
  <c r="G57" i="7"/>
  <c r="G122" i="7"/>
  <c r="G76" i="7"/>
  <c r="G75" i="7" s="1"/>
  <c r="G78" i="7"/>
  <c r="G38" i="7" s="1"/>
  <c r="G244" i="7"/>
  <c r="G246" i="7"/>
  <c r="F244" i="7"/>
  <c r="F246" i="7"/>
  <c r="F57" i="7"/>
  <c r="F249" i="7"/>
  <c r="F252" i="7"/>
  <c r="F107" i="7" s="1"/>
  <c r="F122" i="7"/>
  <c r="F124" i="7"/>
  <c r="F76" i="7"/>
  <c r="F75" i="7" s="1"/>
  <c r="F78" i="7"/>
  <c r="F38" i="7" s="1"/>
  <c r="E281" i="7"/>
  <c r="E283" i="7"/>
  <c r="G94" i="7"/>
  <c r="F94" i="7"/>
  <c r="G328" i="7"/>
  <c r="G331" i="7" s="1"/>
  <c r="G324" i="7" s="1"/>
  <c r="H15" i="15"/>
  <c r="J15" i="15"/>
  <c r="F15" i="15"/>
  <c r="D25" i="3"/>
  <c r="F55" i="7"/>
  <c r="F50" i="7" s="1"/>
  <c r="F52" i="7" s="1"/>
  <c r="G50" i="7"/>
  <c r="G52" i="7" s="1"/>
  <c r="E55" i="7"/>
  <c r="E50" i="7" s="1"/>
  <c r="E53" i="7" s="1"/>
  <c r="F24" i="7"/>
  <c r="F21" i="7" s="1"/>
  <c r="F23" i="7" s="1"/>
  <c r="G24" i="7"/>
  <c r="G21" i="7" s="1"/>
  <c r="G23" i="7" s="1"/>
  <c r="F31" i="7"/>
  <c r="F28" i="7" s="1"/>
  <c r="F30" i="7" s="1"/>
  <c r="G31" i="7"/>
  <c r="G28" i="7" s="1"/>
  <c r="G30" i="7" s="1"/>
  <c r="F41" i="7"/>
  <c r="F43" i="7" s="1"/>
  <c r="G41" i="7"/>
  <c r="G43" i="7" s="1"/>
  <c r="E41" i="7"/>
  <c r="E45" i="7" s="1"/>
  <c r="E31" i="7"/>
  <c r="E28" i="7" s="1"/>
  <c r="E30" i="7" s="1"/>
  <c r="E24" i="7"/>
  <c r="E21" i="7" s="1"/>
  <c r="E23" i="7" s="1"/>
  <c r="E17" i="7"/>
  <c r="G17" i="7"/>
  <c r="E37" i="7" l="1"/>
  <c r="F40" i="7"/>
  <c r="G40" i="7"/>
  <c r="E40" i="7"/>
  <c r="E27" i="7"/>
  <c r="G27" i="7"/>
  <c r="F27" i="7"/>
  <c r="G327" i="7"/>
  <c r="E38" i="3" l="1"/>
  <c r="E37" i="3"/>
  <c r="E36" i="3"/>
  <c r="C8" i="5" l="1"/>
  <c r="E25" i="3"/>
  <c r="E17" i="3"/>
  <c r="E9" i="3" s="1"/>
  <c r="E24" i="3" l="1"/>
  <c r="G19" i="1"/>
  <c r="F45" i="1"/>
  <c r="G42" i="1" s="1"/>
  <c r="G45" i="1" s="1"/>
  <c r="H42" i="1" s="1"/>
  <c r="H45" i="1" s="1"/>
  <c r="I42" i="1" s="1"/>
  <c r="I45" i="1" s="1"/>
  <c r="J42" i="1" s="1"/>
  <c r="J45" i="1" s="1"/>
  <c r="J29" i="1"/>
  <c r="I29" i="1"/>
  <c r="H29" i="1"/>
  <c r="G29" i="1"/>
  <c r="F29" i="1"/>
  <c r="G16" i="1" l="1"/>
  <c r="G22" i="1" s="1"/>
  <c r="F25" i="3" l="1"/>
  <c r="G25" i="3"/>
  <c r="H25" i="3"/>
  <c r="F314" i="7"/>
  <c r="F316" i="7" s="1"/>
  <c r="E314" i="7"/>
  <c r="E316" i="7" s="1"/>
  <c r="G314" i="7"/>
  <c r="E264" i="7"/>
  <c r="E266" i="7" s="1"/>
  <c r="F180" i="7"/>
  <c r="G180" i="7"/>
  <c r="E180" i="7"/>
  <c r="G313" i="7" l="1"/>
  <c r="G316" i="7"/>
  <c r="F24" i="3"/>
  <c r="E313" i="7"/>
  <c r="F313" i="7"/>
  <c r="E448" i="7" l="1"/>
  <c r="F448" i="7"/>
  <c r="G448" i="7"/>
  <c r="E440" i="7"/>
  <c r="F440" i="7"/>
  <c r="G440" i="7"/>
  <c r="E434" i="7"/>
  <c r="E433" i="7" s="1"/>
  <c r="F434" i="7"/>
  <c r="G434" i="7"/>
  <c r="F433" i="7" l="1"/>
  <c r="G433" i="7"/>
  <c r="G439" i="7"/>
  <c r="E439" i="7"/>
  <c r="G447" i="7"/>
  <c r="G445" i="7" s="1"/>
  <c r="F447" i="7"/>
  <c r="F445" i="7" s="1"/>
  <c r="F439" i="7"/>
  <c r="E447" i="7"/>
  <c r="E445" i="7" s="1"/>
  <c r="E427" i="7" l="1"/>
  <c r="F427" i="7"/>
  <c r="G427" i="7"/>
  <c r="E422" i="7"/>
  <c r="F422" i="7"/>
  <c r="G422" i="7"/>
  <c r="E415" i="7"/>
  <c r="F415" i="7"/>
  <c r="G415" i="7"/>
  <c r="G417" i="7" s="1"/>
  <c r="E405" i="7"/>
  <c r="F405" i="7"/>
  <c r="G405" i="7"/>
  <c r="E399" i="7"/>
  <c r="F399" i="7"/>
  <c r="G399" i="7"/>
  <c r="E391" i="7"/>
  <c r="E394" i="7" s="1"/>
  <c r="E388" i="7" s="1"/>
  <c r="F391" i="7"/>
  <c r="F394" i="7" s="1"/>
  <c r="F388" i="7" s="1"/>
  <c r="G391" i="7"/>
  <c r="G394" i="7" s="1"/>
  <c r="G388" i="7" s="1"/>
  <c r="E382" i="7"/>
  <c r="F382" i="7"/>
  <c r="F381" i="7" s="1"/>
  <c r="G382" i="7"/>
  <c r="E417" i="7" l="1"/>
  <c r="E411" i="7" s="1"/>
  <c r="F414" i="7"/>
  <c r="F410" i="7" s="1"/>
  <c r="F417" i="7"/>
  <c r="F411" i="7" s="1"/>
  <c r="G411" i="7"/>
  <c r="G414" i="7"/>
  <c r="G410" i="7" s="1"/>
  <c r="E414" i="7"/>
  <c r="E410" i="7" s="1"/>
  <c r="F404" i="7"/>
  <c r="E390" i="7"/>
  <c r="G404" i="7"/>
  <c r="E381" i="7"/>
  <c r="G390" i="7"/>
  <c r="F398" i="7"/>
  <c r="E404" i="7"/>
  <c r="G398" i="7"/>
  <c r="G381" i="7"/>
  <c r="F390" i="7"/>
  <c r="E398" i="7"/>
  <c r="E374" i="7"/>
  <c r="F374" i="7"/>
  <c r="F376" i="7" s="1"/>
  <c r="F371" i="7" s="1"/>
  <c r="G374" i="7"/>
  <c r="G376" i="7" s="1"/>
  <c r="G371" i="7" s="1"/>
  <c r="E364" i="7"/>
  <c r="F364" i="7"/>
  <c r="G364" i="7"/>
  <c r="E357" i="7"/>
  <c r="F357" i="7"/>
  <c r="G357" i="7"/>
  <c r="F341" i="7"/>
  <c r="F340" i="7" s="1"/>
  <c r="G341" i="7"/>
  <c r="G340" i="7" s="1"/>
  <c r="E271" i="7"/>
  <c r="F271" i="7"/>
  <c r="F263" i="7" s="1"/>
  <c r="G271" i="7"/>
  <c r="G263" i="7" s="1"/>
  <c r="E256" i="7"/>
  <c r="F256" i="7"/>
  <c r="F258" i="7" s="1"/>
  <c r="G256" i="7"/>
  <c r="G258" i="7" s="1"/>
  <c r="E237" i="7"/>
  <c r="F237" i="7"/>
  <c r="F239" i="7" s="1"/>
  <c r="G237" i="7"/>
  <c r="G239" i="7" s="1"/>
  <c r="E230" i="7"/>
  <c r="E233" i="7" s="1"/>
  <c r="F230" i="7"/>
  <c r="G230" i="7"/>
  <c r="E164" i="7"/>
  <c r="E163" i="7" s="1"/>
  <c r="F164" i="7"/>
  <c r="F163" i="7" s="1"/>
  <c r="G164" i="7"/>
  <c r="G163" i="7" s="1"/>
  <c r="E156" i="7"/>
  <c r="F156" i="7"/>
  <c r="G156" i="7"/>
  <c r="E151" i="7"/>
  <c r="F151" i="7"/>
  <c r="G151" i="7"/>
  <c r="E112" i="7"/>
  <c r="F112" i="7"/>
  <c r="F117" i="7" s="1"/>
  <c r="F104" i="7" s="1"/>
  <c r="G112" i="7"/>
  <c r="E94" i="7"/>
  <c r="E85" i="7"/>
  <c r="F85" i="7"/>
  <c r="F82" i="7" s="1"/>
  <c r="G85" i="7"/>
  <c r="G82" i="7" s="1"/>
  <c r="E75" i="7"/>
  <c r="E70" i="7"/>
  <c r="F70" i="7"/>
  <c r="F72" i="7" s="1"/>
  <c r="F35" i="7" s="1"/>
  <c r="G70" i="7"/>
  <c r="G72" i="7" s="1"/>
  <c r="G35" i="7" s="1"/>
  <c r="E14" i="7"/>
  <c r="F14" i="7"/>
  <c r="F16" i="7" s="1"/>
  <c r="F12" i="7" s="1"/>
  <c r="G14" i="7"/>
  <c r="G16" i="7" s="1"/>
  <c r="G12" i="7" s="1"/>
  <c r="G103" i="7" l="1"/>
  <c r="F236" i="7"/>
  <c r="G236" i="7"/>
  <c r="E108" i="7"/>
  <c r="E240" i="7"/>
  <c r="E236" i="7"/>
  <c r="E111" i="7"/>
  <c r="E13" i="7"/>
  <c r="E16" i="7"/>
  <c r="G111" i="7"/>
  <c r="F111" i="7"/>
  <c r="F275" i="7"/>
  <c r="F103" i="7" s="1"/>
  <c r="E166" i="7"/>
  <c r="E275" i="7"/>
  <c r="E263" i="7"/>
  <c r="F387" i="7"/>
  <c r="E387" i="7"/>
  <c r="F255" i="7"/>
  <c r="G255" i="7"/>
  <c r="E255" i="7"/>
  <c r="G228" i="7"/>
  <c r="F228" i="7"/>
  <c r="E228" i="7"/>
  <c r="E82" i="7"/>
  <c r="E69" i="7"/>
  <c r="E34" i="7" s="1"/>
  <c r="G69" i="7"/>
  <c r="G34" i="7" s="1"/>
  <c r="G13" i="7"/>
  <c r="F69" i="7"/>
  <c r="F34" i="7" s="1"/>
  <c r="G387" i="7"/>
  <c r="G356" i="7"/>
  <c r="F363" i="7"/>
  <c r="F13" i="7"/>
  <c r="F356" i="7"/>
  <c r="E363" i="7"/>
  <c r="E356" i="7"/>
  <c r="E340" i="7"/>
  <c r="G363" i="7"/>
  <c r="F373" i="7"/>
  <c r="F369" i="7" s="1"/>
  <c r="E373" i="7"/>
  <c r="E369" i="7" s="1"/>
  <c r="G373" i="7"/>
  <c r="G369" i="7" s="1"/>
  <c r="F328" i="7"/>
  <c r="F331" i="7" s="1"/>
  <c r="F324" i="7" s="1"/>
  <c r="E328" i="7"/>
  <c r="E331" i="7" s="1"/>
  <c r="E324" i="7" s="1"/>
  <c r="E103" i="7" l="1"/>
  <c r="E12" i="7"/>
  <c r="E107" i="7"/>
  <c r="G101" i="7"/>
  <c r="F101" i="7"/>
  <c r="E101" i="7"/>
  <c r="F327" i="7"/>
  <c r="F323" i="7" s="1"/>
  <c r="G323" i="7"/>
  <c r="E11" i="7"/>
  <c r="E10" i="7" s="1"/>
  <c r="F11" i="7"/>
  <c r="F10" i="7" s="1"/>
  <c r="G11" i="7"/>
  <c r="G10" i="7" s="1"/>
  <c r="E327" i="7"/>
  <c r="E323" i="7" s="1"/>
  <c r="E33" i="7" l="1"/>
  <c r="E9" i="7" s="1"/>
  <c r="G33" i="7"/>
  <c r="G9" i="7" s="1"/>
  <c r="F33" i="7"/>
  <c r="F9" i="7" s="1"/>
  <c r="G24" i="3" l="1"/>
  <c r="H24" i="3"/>
  <c r="D36" i="3"/>
  <c r="F17" i="3"/>
  <c r="F9" i="3" s="1"/>
  <c r="G17" i="3"/>
  <c r="G9" i="3" s="1"/>
  <c r="H17" i="3"/>
  <c r="H9" i="3" s="1"/>
  <c r="D17" i="3" l="1"/>
  <c r="D9" i="3" s="1"/>
  <c r="D24" i="3"/>
  <c r="H19" i="1" l="1"/>
  <c r="H22" i="1" s="1"/>
  <c r="J19" i="1"/>
  <c r="I16" i="1"/>
  <c r="J16" i="1"/>
  <c r="H37" i="1" l="1"/>
  <c r="H30" i="1"/>
  <c r="J22" i="1"/>
  <c r="F19" i="1"/>
  <c r="F16" i="1"/>
  <c r="I19" i="1"/>
  <c r="I22" i="1" s="1"/>
  <c r="J30" i="1" l="1"/>
  <c r="J36" i="1" s="1"/>
  <c r="J37" i="1" s="1"/>
  <c r="I30" i="1"/>
  <c r="I36" i="1" s="1"/>
  <c r="I37" i="1" s="1"/>
  <c r="F22" i="1"/>
  <c r="F30" i="1" s="1"/>
  <c r="F36" i="1" s="1"/>
  <c r="F37" i="1" s="1"/>
  <c r="G30" i="1" l="1"/>
  <c r="G36" i="1" s="1"/>
  <c r="G37" i="1" s="1"/>
</calcChain>
</file>

<file path=xl/sharedStrings.xml><?xml version="1.0" encoding="utf-8"?>
<sst xmlns="http://schemas.openxmlformats.org/spreadsheetml/2006/main" count="1598" uniqueCount="935">
  <si>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</si>
  <si>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</si>
  <si>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</si>
  <si>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</si>
  <si>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</si>
  <si>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</si>
  <si>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</si>
  <si>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</si>
  <si>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</si>
  <si>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</si>
  <si>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</si>
  <si>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</si>
  <si>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</si>
  <si>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</si>
  <si>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</si>
  <si>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Prihodi od poreza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</si>
  <si>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</si>
  <si>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</si>
  <si>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</si>
  <si>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</si>
  <si>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</si>
  <si>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</si>
  <si>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</si>
  <si>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UKUPNI RASHODI</t>
  </si>
  <si>
    <t>01 Opće javne usluge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</si>
  <si>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</si>
  <si>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</si>
  <si>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</si>
  <si>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</si>
  <si>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</si>
  <si>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</si>
  <si>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</si>
  <si>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</si>
  <si>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</si>
  <si>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</si>
  <si>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</si>
  <si>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</si>
  <si>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</si>
  <si>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</si>
  <si>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</si>
  <si>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</si>
  <si>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</si>
  <si>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 xml:space="preserve">Pomoći iz inozemstva i od subjekata unutar općeg proračuna </t>
  </si>
  <si>
    <t>Prihodi od prodaje proizvedene dugotrajne imovine</t>
  </si>
  <si>
    <t xml:space="preserve">Prihodi od upravnih i administrativnih pristojbi, pristojbi po posebnim propisima i naknada </t>
  </si>
  <si>
    <t xml:space="preserve">Prihodi od prodaje proizvoda i robe te pruženih usluga, donacija te povrati po protestiranim jamstvima </t>
  </si>
  <si>
    <t>Subvencije</t>
  </si>
  <si>
    <t>Pomoći dane u inozemstvo i unutar općeg proračuna</t>
  </si>
  <si>
    <t xml:space="preserve">Naknade građanima i kućanstvima na temelju osiguranja i druge naknade </t>
  </si>
  <si>
    <t>Ostali rashodi</t>
  </si>
  <si>
    <t xml:space="preserve">Rashodi za dodatna ulaganja na nefinancijskoj imovini </t>
  </si>
  <si>
    <t>03 Javni red i sigurnost</t>
  </si>
  <si>
    <t>05 Zaštita okoliša</t>
  </si>
  <si>
    <t>06 Usluge unaprjeđenja stanovanja i zajednice</t>
  </si>
  <si>
    <t>02 Obrana</t>
  </si>
  <si>
    <t>07 Zdravstvo</t>
  </si>
  <si>
    <t>08 Rekreacija, kultura i religija</t>
  </si>
  <si>
    <t>09 Obrazovanje</t>
  </si>
  <si>
    <t>0911 Predškolsko obrazovanje</t>
  </si>
  <si>
    <t>0912 Osnovnoškolsko obrazovanje</t>
  </si>
  <si>
    <t>092 Srednjoškolsko obrazovanje</t>
  </si>
  <si>
    <t>094 Visoka naobrazba</t>
  </si>
  <si>
    <t>10 Socijalna zaštita</t>
  </si>
  <si>
    <t>RAZDJEL 001 PREDSTAVNIČKA I IZVRŠNA TIJELA</t>
  </si>
  <si>
    <t xml:space="preserve">GLAVA 00101:Predstavnička i izvršna tijela </t>
  </si>
  <si>
    <t>Izvor financiranja: 01 - Opći prihodi i primici</t>
  </si>
  <si>
    <t>Izvor financiranja: 05 - Pomoći</t>
  </si>
  <si>
    <t>RAZDJEL 002 JEDINSTVENI UPRAVNI ODJEL</t>
  </si>
  <si>
    <t>GLAVA 00201: Jedinstveni upravni odjel</t>
  </si>
  <si>
    <t>Aktivnost A002010103: Izrada dokumentacije</t>
  </si>
  <si>
    <t>Aktivnost A002010104: Nabava opreme i namještaja</t>
  </si>
  <si>
    <t xml:space="preserve">Aktivnost A002020101: Redovni rad osoba na javnim radovima </t>
  </si>
  <si>
    <t>GLAVA 00202: Poljoprivreda i poduzetništvo</t>
  </si>
  <si>
    <t>i stočarstva</t>
  </si>
  <si>
    <t xml:space="preserve">GLAVA 00203: Prostorno planiranje, uređenje </t>
  </si>
  <si>
    <t>i komunalne djelatnosti</t>
  </si>
  <si>
    <t>odvodnje i zaštite voda</t>
  </si>
  <si>
    <t>GLAVA 00204: Odgoj i obrazovanje</t>
  </si>
  <si>
    <t>Korisnik: Dječji vrtić "Košutica"</t>
  </si>
  <si>
    <t>Osnovnoj školi</t>
  </si>
  <si>
    <t>srednjih škola</t>
  </si>
  <si>
    <t>Aktivnost A002040203: Studentske stipendije</t>
  </si>
  <si>
    <t xml:space="preserve">GLAVA 00205: ORGANIZACIJA I PROVOĐENJE ZAŠTITE </t>
  </si>
  <si>
    <t>I SPAŠAVANJA</t>
  </si>
  <si>
    <t>GLAVA 00206: REKREACIJA, KULTURA, RELIGIJA</t>
  </si>
  <si>
    <t>sportskih udruga</t>
  </si>
  <si>
    <t>GLAVA 00207: ZDRAVSTVO I SOCIJALNA SKRB</t>
  </si>
  <si>
    <t>Aktivnost A002070101: Pomoć obiteljima</t>
  </si>
  <si>
    <t>Aktivnost A002070102: Pokloni djeci za blagdane</t>
  </si>
  <si>
    <t>Aktivnost A002070202: Sufinanciranje zdravstvenih usluga</t>
  </si>
  <si>
    <t>GLAVA 00208: POTICANJE RAZVOJA CIVIL. DRUŠTVA</t>
  </si>
  <si>
    <t xml:space="preserve">Rashodi za nabavu proizvedene dugotrajne imovine </t>
  </si>
  <si>
    <t xml:space="preserve">Aktivnost A002020101: Poticanje poljoprivredne proizvodnje </t>
  </si>
  <si>
    <t>Aktivnost A002020102: Subvencije u turizmu</t>
  </si>
  <si>
    <t>Aktivnost A002030104: Održavanje groblja</t>
  </si>
  <si>
    <t xml:space="preserve">Aktivnost A002030103: Održavanje građ. javne odvodnje oborinskih voda </t>
  </si>
  <si>
    <t>Aktivnost A002030401: Zaštita i uređenje okoliša</t>
  </si>
  <si>
    <t>Aktivnost A002030501: Veterinarske usluge</t>
  </si>
  <si>
    <t>Kapitalni projekt 002030701: Izgradnja i održavanje turist. infrastrukture</t>
  </si>
  <si>
    <t>Rashodi za dodatna ulaganja na nefinancijskoj imovini</t>
  </si>
  <si>
    <t>Financijski rashodi</t>
  </si>
  <si>
    <t>UKUPNO RASHODI I IZDACI</t>
  </si>
  <si>
    <t>01</t>
  </si>
  <si>
    <t>Pomoći</t>
  </si>
  <si>
    <t>Prihod za posebne namjene</t>
  </si>
  <si>
    <t>PRIHODI OD POREZA</t>
  </si>
  <si>
    <t>Porez na dohodak</t>
  </si>
  <si>
    <t xml:space="preserve">ISPLATA GOD.OBRAČUN POREZA </t>
  </si>
  <si>
    <t>Porez na korištenje javnih površina</t>
  </si>
  <si>
    <t>Porez na promet nekretnina</t>
  </si>
  <si>
    <t xml:space="preserve">POMOĆI IZ INOZEMSTVA I OD SUBJEKATA </t>
  </si>
  <si>
    <t xml:space="preserve">          UNUTAR OPĆEG PRORAČUNA</t>
  </si>
  <si>
    <t>mala škola</t>
  </si>
  <si>
    <t>Potpore zavoda za zapošljavanje</t>
  </si>
  <si>
    <t>Porez na dohodak-JVP</t>
  </si>
  <si>
    <t>PRIHODI OD IMOVINE</t>
  </si>
  <si>
    <t>Naknada za koncesiju - dimnjačarske usluge</t>
  </si>
  <si>
    <t>Naknada za koncesiju-INA</t>
  </si>
  <si>
    <t>Prihodi od zakupa i iznajmljivanja imovine</t>
  </si>
  <si>
    <t>Prihod od prenamjene poljoprivrednog zemljišta</t>
  </si>
  <si>
    <t>Prihod od spomeničke rente</t>
  </si>
  <si>
    <t>Naknada za eksploataciju mineralnih sirovina</t>
  </si>
  <si>
    <t>Prihodi od grobne naknade</t>
  </si>
  <si>
    <t>Vodni doprinos</t>
  </si>
  <si>
    <t>Šumski doprinos</t>
  </si>
  <si>
    <t>Prihodi od uplate roditelja za DV</t>
  </si>
  <si>
    <t>Komunalne naknade</t>
  </si>
  <si>
    <t>PRIHODI OD PRODAJE PROIZVED. IMOVINE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</si>
  <si>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</si>
  <si>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</si>
  <si>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</si>
  <si>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</si>
  <si>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</si>
  <si>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</si>
  <si>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</si>
  <si>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</si>
  <si>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</si>
  <si>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OSTALI FINANCIJSKI RASHODI</t>
  </si>
  <si>
    <t>SUBVENCIJE</t>
  </si>
  <si>
    <t xml:space="preserve">POMOĆI UNUTAR OPĆEG PRORAČUNA </t>
  </si>
  <si>
    <t>NAKNADE GRAĐANIMA I KUĆANSTVIMA</t>
  </si>
  <si>
    <t>OSTALE NAKNADE GRAĐANIMA I KUĆANSTVIMA</t>
  </si>
  <si>
    <t>DONACIJE I OSTALI RASHODI</t>
  </si>
  <si>
    <t>TEKUĆE DONACIJE</t>
  </si>
  <si>
    <t>GRAĐEVINSKI OBJEKTI</t>
  </si>
  <si>
    <t>POSTROJENJA I OPREMA</t>
  </si>
  <si>
    <t>NEMATERIJALNA PROIZVEDENA IMOVINA</t>
  </si>
  <si>
    <t>GLAVA 00101: PREDSTAVNIČKA I IZVRŠNA TIJELA</t>
  </si>
  <si>
    <t xml:space="preserve">Aktivnost A001010101: Općinski načelnik </t>
  </si>
  <si>
    <t>BRUTO PLAĆA</t>
  </si>
  <si>
    <t>Doprinosi za zdravstveno osiguranje</t>
  </si>
  <si>
    <t>Službena putovanja</t>
  </si>
  <si>
    <t>OSTALI NESPOMENUTI RASHODI POSLOVANJA</t>
  </si>
  <si>
    <t>Reprezentacija</t>
  </si>
  <si>
    <t>OSTALI RASHODI</t>
  </si>
  <si>
    <t xml:space="preserve">Tekuće donacije </t>
  </si>
  <si>
    <t>Tekuća zaliha</t>
  </si>
  <si>
    <t>Aktivnost A001010102: Općinsko vijeće i radna tijela Općinskog vijeća</t>
  </si>
  <si>
    <t xml:space="preserve">RASHODI POSLOVANJA </t>
  </si>
  <si>
    <t>OSTALI NESPOMENUTI RASHODI POSLOV.</t>
  </si>
  <si>
    <t>Naknade članovima Op.vijeća i Povjerenstava</t>
  </si>
  <si>
    <t>Savjet potrošača-naknade</t>
  </si>
  <si>
    <t>Tekuće donacije u novcu (savjet mladih)</t>
  </si>
  <si>
    <t>Tekuće donacije u novcu (stranke)</t>
  </si>
  <si>
    <t>GLAVA 00201: JEDINSTVENI UPRAVNI ODJEL</t>
  </si>
  <si>
    <t>Aktivnost A002010101: Redovni rad Jedinstvenog upravnog</t>
  </si>
  <si>
    <t>odjela</t>
  </si>
  <si>
    <t>BRUTO PLAĆE</t>
  </si>
  <si>
    <t>Ostali rashodi za zaposlene (regres, božićnice)</t>
  </si>
  <si>
    <t>Naknada za prijevoz na posao i s posla</t>
  </si>
  <si>
    <t>Stručno usavršavanje</t>
  </si>
  <si>
    <t>Uredski materijal</t>
  </si>
  <si>
    <t>Materijal i sred. za čišćenje</t>
  </si>
  <si>
    <t>Ostali materijal</t>
  </si>
  <si>
    <t>Električna energija</t>
  </si>
  <si>
    <t xml:space="preserve">Potrošnja plina </t>
  </si>
  <si>
    <t>Sitan inventar</t>
  </si>
  <si>
    <t>Radna i zaštitna odjeća i obuća</t>
  </si>
  <si>
    <t>Usluge telefona</t>
  </si>
  <si>
    <t>Poštanske marke i poštarina</t>
  </si>
  <si>
    <t>usluge prijevoza</t>
  </si>
  <si>
    <t>Izdaci reklamiranja i objave oglasa</t>
  </si>
  <si>
    <t>Slivna vodna naknada</t>
  </si>
  <si>
    <t>Najam opreme (fotokop.aparat)</t>
  </si>
  <si>
    <t>Ugovori o djelu - bruto</t>
  </si>
  <si>
    <t xml:space="preserve">Usluge odvjetnika </t>
  </si>
  <si>
    <t>Geodetske usluge</t>
  </si>
  <si>
    <t>Konzultantske usluge</t>
  </si>
  <si>
    <t>Računalne usluge i antivirusni programi</t>
  </si>
  <si>
    <t>Grafičke i tiskarske usluge,izrada fotografija</t>
  </si>
  <si>
    <t>Usluge bibliobusa</t>
  </si>
  <si>
    <t>Usluga slanja e-računa</t>
  </si>
  <si>
    <t>Troškovi prijevoza pokojnika</t>
  </si>
  <si>
    <t xml:space="preserve">Zaštita na radu </t>
  </si>
  <si>
    <t>DP-1% prihoda</t>
  </si>
  <si>
    <t>Opskrba vodom</t>
  </si>
  <si>
    <t>Ostale nespomenute usluge</t>
  </si>
  <si>
    <t>Reprezentacija - tekuća</t>
  </si>
  <si>
    <t>Članarine- Udruga Općina,LAG, TZ</t>
  </si>
  <si>
    <t xml:space="preserve">RASHODI ZA NABAVU NEFINANCIJSKE IMOVINE </t>
  </si>
  <si>
    <t>Sudske i javnobilježničke pristojbe</t>
  </si>
  <si>
    <t>Bankarske usluge i usluge platnog prometa</t>
  </si>
  <si>
    <t>Ostali nesp. fin. rashodi</t>
  </si>
  <si>
    <t xml:space="preserve">POMOĆI DANE U INOZEMSTVO I UNUTAR OPĆEG PRORAČUNA </t>
  </si>
  <si>
    <t xml:space="preserve">Tekuće pomoći unutar općeg proračuna </t>
  </si>
  <si>
    <t>RASHODI ZA NABAVU PROIZVEDENE FINANCIJSKE IMOVINE</t>
  </si>
  <si>
    <t>Uredska oprema i namještaj</t>
  </si>
  <si>
    <t>Nabava računalnih programa</t>
  </si>
  <si>
    <t xml:space="preserve">RASHODI ZA ZAPOSLENE </t>
  </si>
  <si>
    <t>Bruto plaće</t>
  </si>
  <si>
    <t>GLAVA 00202: POLJOPRIVREDA I PODUZETNIŠTVO</t>
  </si>
  <si>
    <t>SUBVENCIJE POLJOPRIVREDNICIMA</t>
  </si>
  <si>
    <t>Subvencije poljoprivrednicima</t>
  </si>
  <si>
    <t>POMOĆI UNUTAR OPĆEG PRORAČUNA</t>
  </si>
  <si>
    <t>Poljoprivredni redar</t>
  </si>
  <si>
    <t>SUBVENCIJE OBRTNICIMA I PODUZETNICIMA</t>
  </si>
  <si>
    <t xml:space="preserve">GLAVA 00203: PROSTORNO PLANIRANJE, UREĐENJE  </t>
  </si>
  <si>
    <t>I KOMUNALNE DJELATNOSTI</t>
  </si>
  <si>
    <t>Funkcijska klasifikacija: 06 - Unaprjeđenje stanovanja i zajednice</t>
  </si>
  <si>
    <t>Usluge odvoza smeća s mjesnog groblja</t>
  </si>
  <si>
    <t xml:space="preserve">RASHODI ZA MATERIJAL I ENERGIJU </t>
  </si>
  <si>
    <t xml:space="preserve">RASHODI ZA USLUGE </t>
  </si>
  <si>
    <t>RASHODI ZA NABAVU PROIZVEDENE DUGOTRAJNE IMOVINE</t>
  </si>
  <si>
    <t>Usluge održavanja</t>
  </si>
  <si>
    <t>Aktivnost A002030102: Tekuće održavanje mreže javne rasvjete</t>
  </si>
  <si>
    <t>Utrošak el.energije</t>
  </si>
  <si>
    <t>Održavanje i modernizacija mreže javne rasvjete</t>
  </si>
  <si>
    <t>i rekreacijskih prostora</t>
  </si>
  <si>
    <t>odvodnje</t>
  </si>
  <si>
    <t>RASH. ZA NABAVU PROIZV. DUGOTR. IMOV.</t>
  </si>
  <si>
    <t>Aglomeracija</t>
  </si>
  <si>
    <t>Komunalni redar</t>
  </si>
  <si>
    <t>Kapitalni projekt 002030403: Nabava opreme za zaštitu okoliša</t>
  </si>
  <si>
    <t>Stručni nadzor nad provođenjem deratizacije</t>
  </si>
  <si>
    <t xml:space="preserve">Pregled mesa na trihinelozu </t>
  </si>
  <si>
    <t>SUF. STERILIZACIJE PASA</t>
  </si>
  <si>
    <t xml:space="preserve">SUBVENCIJE </t>
  </si>
  <si>
    <t xml:space="preserve">SUBVENCIJE POLJOPRIVREDNICIMA </t>
  </si>
  <si>
    <t>RASHODI ZA NABAVU PROIZVEDENE DUGOTR. IMOVINE</t>
  </si>
  <si>
    <t>RASHODI ZA DODATNA ULAGANJA NA NEF.IMOVINI</t>
  </si>
  <si>
    <t xml:space="preserve">DODATNA ULAGANJA NA GRAĐ. OBJEKTIMA </t>
  </si>
  <si>
    <t>Ostale usluge tekućeg održavanja</t>
  </si>
  <si>
    <t>RASHODI ZA NABAVU PROIZV.DUGOTR.IMOVINE</t>
  </si>
  <si>
    <t>Izgradnja i održavanje turističke infrastrukture</t>
  </si>
  <si>
    <t xml:space="preserve">Materijal i dijelovi za tekuće održavanje </t>
  </si>
  <si>
    <t>objektima</t>
  </si>
  <si>
    <t>RASHODI ZA DODATNA ULAGANJA NA NEFIN.IMOVINI</t>
  </si>
  <si>
    <t>DODATNA ULAGANJA NA GRAĐEVINSKIM OBJEKTIMA</t>
  </si>
  <si>
    <t xml:space="preserve">GLAVA 00204: ODGOJ I OBRAZOVANJE </t>
  </si>
  <si>
    <t>Aktivnost A002040101: Redovni rad Dječjeg vrtića "Košutica"</t>
  </si>
  <si>
    <t>Bruto plaće za redovni rad</t>
  </si>
  <si>
    <t>Ostali rashodi za zaposlene (regres, božićnice,..)</t>
  </si>
  <si>
    <t>Naknade za prijevoz na posao i s posla</t>
  </si>
  <si>
    <t>Ostale naknade troškova zaposlenika</t>
  </si>
  <si>
    <t>Uredski materijal i ostali materijalni rashodi</t>
  </si>
  <si>
    <t>Materijal i sirovine</t>
  </si>
  <si>
    <t>SITNI- IGRAČKE</t>
  </si>
  <si>
    <t>RADNA ODJEĆA I OBUĆA</t>
  </si>
  <si>
    <t>Tekuće održavanje</t>
  </si>
  <si>
    <t>RAČUNALNE USLUGE</t>
  </si>
  <si>
    <t>OSTALI NESPOMENUTI RASH. POSLOVANJA</t>
  </si>
  <si>
    <t>Naknade za rad Upravnog vijeća</t>
  </si>
  <si>
    <t>OSTALE PRISTOJBE</t>
  </si>
  <si>
    <t>članarine</t>
  </si>
  <si>
    <t>RASHODI PROTOKOLA (VIJENCI, CVIJEĆE I SL)</t>
  </si>
  <si>
    <t>Ostali nespomenuti financijski rashodi</t>
  </si>
  <si>
    <t>RASHODI ZA NABAVU NEFINANCIJSKE IMOV.</t>
  </si>
  <si>
    <t>Aktivnost A002040201: Unaprjeđenje nastave u Osnovnoj školi</t>
  </si>
  <si>
    <t>Aktivnost A002040202: Novčana pomoć učenicima srednjih škola</t>
  </si>
  <si>
    <t>Sufinanciranje prijevoza učenika</t>
  </si>
  <si>
    <t>Stipendije studentima</t>
  </si>
  <si>
    <t>GLAVA 00205: ORGANIZACIJA I PROVOĐENJE ZAŠTITE I SPAŠAVANJA</t>
  </si>
  <si>
    <t>Aktivnost A002050101: Sufinanciranje rada vatrogasnih društava, zajednica i postrojbi</t>
  </si>
  <si>
    <t>Pomoći gradskom proračunu-JVP</t>
  </si>
  <si>
    <t>TEKUĆE DONACIJE - vatrogastvo</t>
  </si>
  <si>
    <t xml:space="preserve">udruga zaštite pomoći i spašavanja </t>
  </si>
  <si>
    <t>Donacija - HGSS</t>
  </si>
  <si>
    <t>Aktivnost A002060101: Sufinanciranje programa sportskih udruga</t>
  </si>
  <si>
    <t>TEKUĆE DONACIJE - sportske udruge</t>
  </si>
  <si>
    <t xml:space="preserve">TEKUĆE DONACIJE-župa </t>
  </si>
  <si>
    <t>Sufinanciranje stanovanja</t>
  </si>
  <si>
    <t xml:space="preserve">Pomoć umirovljenicima </t>
  </si>
  <si>
    <t>Porodiljne naknade</t>
  </si>
  <si>
    <t>Pomoć mladim obiteljima-stambeno zbrinjavanje</t>
  </si>
  <si>
    <t>Sufinanciranje školske opreme (OŠ)</t>
  </si>
  <si>
    <t>Sufinanciranje poštanskih usluga</t>
  </si>
  <si>
    <t>Pokloni djeci za blagdane</t>
  </si>
  <si>
    <t>Plaće za za poslene žene</t>
  </si>
  <si>
    <t>Doprinos za zdravstveno osiguranje</t>
  </si>
  <si>
    <t xml:space="preserve">NAKNADE TROŠKOVA ZAPOSLENIMA </t>
  </si>
  <si>
    <t>Sufinanciranje rada Crvenog križa</t>
  </si>
  <si>
    <t>Akcija Solidarnost na djelu</t>
  </si>
  <si>
    <t>Tekuće donacije - liječnik</t>
  </si>
  <si>
    <t xml:space="preserve">GLAVA 00208: POTICANJE RAZVOJA CIVILNOG DRUŠTVA </t>
  </si>
  <si>
    <t>Tekuće donacije udrugama</t>
  </si>
  <si>
    <t>Pričuva Mirogojska</t>
  </si>
  <si>
    <t xml:space="preserve">Električna energija  i plin </t>
  </si>
  <si>
    <t xml:space="preserve">Mat. Tekuće održavanje objekata i opreme </t>
  </si>
  <si>
    <t xml:space="preserve">Intelektualne usluge, ugovor o djelu </t>
  </si>
  <si>
    <t>Ostale usluge (kopiranje, tisak)</t>
  </si>
  <si>
    <t>Kamata</t>
  </si>
  <si>
    <t>bruto plaća načelnika</t>
  </si>
  <si>
    <t>bruto plaće</t>
  </si>
  <si>
    <t>ošasna i mi</t>
  </si>
  <si>
    <t xml:space="preserve">Pristojbe i naknade ivanec </t>
  </si>
  <si>
    <t xml:space="preserve">Procjena prodaje ošasne imovine </t>
  </si>
  <si>
    <t xml:space="preserve">Materijal </t>
  </si>
  <si>
    <t xml:space="preserve">Ostali izdaci vezani uz zaštitu okoliša kazna </t>
  </si>
  <si>
    <t xml:space="preserve">Deratizacija, dezinsekcija, dezinfekcija (der 24, kom </t>
  </si>
  <si>
    <t>Kapitalni projekt 002030213: Izgradnja spremišta za komunalnu opremu</t>
  </si>
  <si>
    <t>Ostali građevinski objekti</t>
  </si>
  <si>
    <t>Mat.za hig. potrebe</t>
  </si>
  <si>
    <t>Monitoring</t>
  </si>
  <si>
    <t>kalinovac</t>
  </si>
  <si>
    <t>Rušenje starih objekata-kuća</t>
  </si>
  <si>
    <t>Dogadnja staza</t>
  </si>
  <si>
    <t>Tekuće donacije - dom zdravlja</t>
  </si>
  <si>
    <t>SVEUKUPNO PRIHODI I PRIMICI</t>
  </si>
  <si>
    <t>EUR</t>
  </si>
  <si>
    <t xml:space="preserve">C) PRENESENI VIŠAK ILI PRENESENI MANJAK 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</si>
  <si>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</si>
  <si>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</si>
  <si>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</si>
  <si>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</si>
  <si>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</si>
  <si>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</si>
  <si>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</si>
  <si>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</si>
  <si>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 xml:space="preserve">RASHODI POSLOVANJA PREMA EKONOMSKOJ KLASIFIKACIJI </t>
  </si>
  <si>
    <t>PRIHODI POSLOVANJA PREMA IZVORIMA FINANCIRANJA</t>
  </si>
  <si>
    <t>RASHODI POSLOVANJA PREMA IZVORIMA FINANCIRANJA</t>
  </si>
  <si>
    <t>B. RAČUN FINANCIRANJA PREMA EKONOMSKOJ KLASIFIKACIJI</t>
  </si>
  <si>
    <t>B. RAČUN FINANCIRANJA PREMA IZVORIMA FINANCIRANJA</t>
  </si>
  <si>
    <t xml:space="preserve">011 Izvršna i zakonodavna tijela </t>
  </si>
  <si>
    <t>016 Opće usluge koje nisu drugdje svrstane</t>
  </si>
  <si>
    <t>042 Poljoprivreda, šumarstvo, ribarstvo i lov</t>
  </si>
  <si>
    <t>041 Opći, ekonomski, trgovački i poslovi vezani uz rad</t>
  </si>
  <si>
    <t>Aktivnost A002030101: Održavanje nerazvrstanih cesta</t>
  </si>
  <si>
    <t>Šodrenje, tek.održavanje cesta i mostova, krpanje, bitumenizacija</t>
  </si>
  <si>
    <t xml:space="preserve">Aktivnost: xxxxx Odražavanje čistoće javnih površina </t>
  </si>
  <si>
    <t>Aktivnost xxx nova: Održavanje građevina, uređaja i predmeta javne namjene</t>
  </si>
  <si>
    <t>Nabava spremnika za prikupljanje komunalnog otpada</t>
  </si>
  <si>
    <t>oprema za zaštitu okoliša (kamere)</t>
  </si>
  <si>
    <t xml:space="preserve">čipiranje </t>
  </si>
  <si>
    <t>Zbrinjavanje pasa</t>
  </si>
  <si>
    <t xml:space="preserve">Subvencije obrtnicima i poduzetnicima i fizičkim </t>
  </si>
  <si>
    <t>Aktivnost nova xxx</t>
  </si>
  <si>
    <t xml:space="preserve">TEKUĆE DONACIJE </t>
  </si>
  <si>
    <t>TEKUĆE DONACIJE-kultura pjevaći, kud</t>
  </si>
  <si>
    <t>mladi</t>
  </si>
  <si>
    <t xml:space="preserve">branitelji </t>
  </si>
  <si>
    <t xml:space="preserve">Aktivnost A002080101: Sufinanciranje projekata i programa </t>
  </si>
  <si>
    <t>dravski dečki</t>
  </si>
  <si>
    <t>multipla skleroza</t>
  </si>
  <si>
    <t>slepi</t>
  </si>
  <si>
    <t>umirovljenici</t>
  </si>
  <si>
    <t>udruga žena</t>
  </si>
  <si>
    <t>udruga informatičara</t>
  </si>
  <si>
    <t>bratovština</t>
  </si>
  <si>
    <t>Program 1000: Predstavnička i izvršna vlast</t>
  </si>
  <si>
    <t>Program 1002: Opći, upravni i financ. računovod. poslovi</t>
  </si>
  <si>
    <t xml:space="preserve">Funkcijska klasifikacija 011 Izvršna i zakonodavna tijela </t>
  </si>
  <si>
    <t xml:space="preserve">Funkcijska klasifikacija 016 Opće usluge koje nisu drugdje svrstane </t>
  </si>
  <si>
    <t>Program 1003: Razvoj i sigurnost prometa</t>
  </si>
  <si>
    <t xml:space="preserve">Program 1004: Zapošljavanje osoba na javnim radovima </t>
  </si>
  <si>
    <t>Program 1005: Unaprjeđenje poljoprivrede</t>
  </si>
  <si>
    <t>Program 1006: Unaprjeđenje razvoja turizma</t>
  </si>
  <si>
    <t>Program 1008: Građenje komunalne infrastrukture</t>
  </si>
  <si>
    <t xml:space="preserve">Program 1009: Razvoj i upravljanje sustavom vodoopskrbe, </t>
  </si>
  <si>
    <t>Program 1010: Zaštita i uređenje okoliša</t>
  </si>
  <si>
    <t>Program 1011: Veterinarska zaštita okoliša</t>
  </si>
  <si>
    <t>Program 1012: Izgradnja i održav. ostale infrastrukture</t>
  </si>
  <si>
    <t>Program 1013: Izgradnja i održavanje turističke infrastrukt.</t>
  </si>
  <si>
    <t>Program 1014: Predškolski odgoj</t>
  </si>
  <si>
    <t>Program 1015: Osnovnoškolsko obrazovanje</t>
  </si>
  <si>
    <t>Program 1016: Srednjoškolsko obrazovanje</t>
  </si>
  <si>
    <t>Program 1017: Visoko obrazovanje</t>
  </si>
  <si>
    <t>Program 1018: Protupožarna zaštita</t>
  </si>
  <si>
    <t>Program 1019: Civilna zaštita</t>
  </si>
  <si>
    <t>Program 1020: Javne potrebe u sportu</t>
  </si>
  <si>
    <t>Program 1021: Javne potrebe u kulturi</t>
  </si>
  <si>
    <t>Program 1023: Pomoć obiteljima i kućanstvima</t>
  </si>
  <si>
    <t>Program 1024: Humanitarna skrb kroz udruge građana</t>
  </si>
  <si>
    <t>Program 1025: Primarna zdravstvena zaštita</t>
  </si>
  <si>
    <t>Program 1026: Djelatnost udruga građana</t>
  </si>
  <si>
    <t>Funkcijska klasifikacija 045 Cestovni promet</t>
  </si>
  <si>
    <t>Funkcijska klasifikacija 062 Razvoj zajednice</t>
  </si>
  <si>
    <t>Funkcijska klasifikacija 105 nezaposlenost</t>
  </si>
  <si>
    <t>Funkcijska klasifikacija 042 Poljoprivreda, šumarstvo, ribarstvo i lov</t>
  </si>
  <si>
    <t>Funkcijska klasifikacija 041 Opći, ekonomski, trgovački i poslovi vezani uz rad</t>
  </si>
  <si>
    <t>Funkcijska klasifikacija 064 Ulična rasvjeta</t>
  </si>
  <si>
    <t>Funkcijska klasifikacija 062  Razvoj zajednice</t>
  </si>
  <si>
    <t>Funkcijska klasifikacija 063 Opskrba vodom</t>
  </si>
  <si>
    <t>Funkcijska klasifikacija 056 poslovi i usluge zaštite okoliša koji nisu drugdje svrstani</t>
  </si>
  <si>
    <t>Funkcijska klasifikacija 051 Gospodarenje otpadom</t>
  </si>
  <si>
    <t>Funkcijska klasifikacija 056 Poslovi i usluge zaštite okoliša koji nisu drugdje svrstani</t>
  </si>
  <si>
    <t>Funkcijska klasifikacija 066 Rashodi vezani za stanovanje i kom. pogodnosti koji nisu drugdje svrstani</t>
  </si>
  <si>
    <t xml:space="preserve">Funkcijska klasifikacija 091 Predškolsko obrazovanje </t>
  </si>
  <si>
    <t xml:space="preserve">Funkcijska klasifikacija 092 Osnovnoškolsko obrazovanje </t>
  </si>
  <si>
    <t xml:space="preserve">Funkcijska klasifikacija 093 Srednjškolsko obrazovanje </t>
  </si>
  <si>
    <t>Funkcijska klasifikacija 094 Visoka naobrazba</t>
  </si>
  <si>
    <t>Funkcijska klasifikacija 032 Usluge protupožarne zaštite</t>
  </si>
  <si>
    <t>Funkcijska klasifikacija 022 Civilna obrana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</si>
  <si>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</si>
  <si>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</si>
  <si>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</si>
  <si>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104 Obitelj i djeca</t>
  </si>
  <si>
    <t>Funkcijska klasifikacija 102 Starost</t>
  </si>
  <si>
    <t>Funkcijska klasifikacija 107 Socijalna pomoć stanovništvu koje nije obuhvaćeno redovnim socijalnim programima</t>
  </si>
  <si>
    <t>Funkcijska klasifikacija 072 Službe za vanjske pacijente</t>
  </si>
  <si>
    <t>Funkcijska klasifikacija 086 Rashodi za rekreaciju, kulturu i religiju koji nisu drugdje svrstani</t>
  </si>
  <si>
    <t>Fotonaponske proizvodnja el.en.</t>
  </si>
  <si>
    <t>Plan 2024</t>
  </si>
  <si>
    <t xml:space="preserve">ostale usluge tekućeg održavanja i ošasna </t>
  </si>
  <si>
    <t xml:space="preserve">Naknade za prijevoz na posao </t>
  </si>
  <si>
    <t>OBILJEŽAVANJE PARKINGA</t>
  </si>
  <si>
    <t xml:space="preserve">Kapitalni projekt : Rekonstrukcija i dodatna ulaganja na građevinskim </t>
  </si>
  <si>
    <t>Naknade građanima u naturi</t>
  </si>
  <si>
    <t>Mariška</t>
  </si>
  <si>
    <t xml:space="preserve">Civilna </t>
  </si>
  <si>
    <t xml:space="preserve">70eura </t>
  </si>
  <si>
    <t>Usluge telefona, pošte, prijevoza</t>
  </si>
  <si>
    <t xml:space="preserve">Komunalne usluge i opskrba vodom, deratizacija </t>
  </si>
  <si>
    <t>Zdravstvene usluge, analize voda hrana</t>
  </si>
  <si>
    <t>uredski namještaj</t>
  </si>
  <si>
    <t>oprema</t>
  </si>
  <si>
    <t>komarci</t>
  </si>
  <si>
    <t>ose</t>
  </si>
  <si>
    <t>štakori 2x</t>
  </si>
  <si>
    <t>Aktivnost xxx nova: Održavanje javnih zelenih površina</t>
  </si>
  <si>
    <t>266*12</t>
  </si>
  <si>
    <t>Premije osiguranja imovine i fotonaponske, kombi traktor</t>
  </si>
  <si>
    <t xml:space="preserve">hrt pristojba </t>
  </si>
  <si>
    <t>HEL, JA, MEĐ, IVANA, VALE. ŠČUKA</t>
  </si>
  <si>
    <t>HEL</t>
  </si>
  <si>
    <t>JA</t>
  </si>
  <si>
    <t>IVANA</t>
  </si>
  <si>
    <t>IVICA</t>
  </si>
  <si>
    <t>MEĐO</t>
  </si>
  <si>
    <t>7 ŽENA NA 12 MESECI</t>
  </si>
  <si>
    <t>UKUPNI TROŠAK U PRIHODU</t>
  </si>
  <si>
    <t xml:space="preserve">Eu ceste </t>
  </si>
  <si>
    <t>DP-izbori</t>
  </si>
  <si>
    <t>Materijal za tek.odr.građevina (paviljon, park, spomenici, busna )</t>
  </si>
  <si>
    <t>usluge za tek.odr.građevina (paviljon, park, spomenici, busna )</t>
  </si>
  <si>
    <t xml:space="preserve">Aktivnost xxx nova: Održavanje građevinskih objekata u vlasništvu Općine </t>
  </si>
  <si>
    <t xml:space="preserve">Kapitalni projekt 002030601: Kapitalna i tekuća ulaganja u prijevozna </t>
  </si>
  <si>
    <t xml:space="preserve">sredstava riječnog prometa </t>
  </si>
  <si>
    <t xml:space="preserve">Održavanje prijevoznih sredstava, tehnički pregled kombi </t>
  </si>
  <si>
    <t>Mat.tek.odr.kombi</t>
  </si>
  <si>
    <t>Održavanje postrojenja i opreme u zgradama</t>
  </si>
  <si>
    <t xml:space="preserve">Gorivo i mazivo kombi </t>
  </si>
  <si>
    <t xml:space="preserve">               usluge košnje </t>
  </si>
  <si>
    <t xml:space="preserve">Komunalna oprema </t>
  </si>
  <si>
    <t xml:space="preserve">Usluge izrade znakova, tabli </t>
  </si>
  <si>
    <t xml:space="preserve">Aktivnost    novo </t>
  </si>
  <si>
    <t>nadzor 800</t>
  </si>
  <si>
    <t xml:space="preserve">helena naziv projekta </t>
  </si>
  <si>
    <t xml:space="preserve">Poboljšanje standarda i školske aktivnosti OŠ Ferdinandovac i </t>
  </si>
  <si>
    <t>dodatna ulaganja na skeli</t>
  </si>
  <si>
    <t>MATERIJALNI RAHODI</t>
  </si>
  <si>
    <t>Izrada plana</t>
  </si>
  <si>
    <t>Održavanje javnih površina (septičke, kontejneri)</t>
  </si>
  <si>
    <t>ukras vodenica</t>
  </si>
  <si>
    <t>Donacije</t>
  </si>
  <si>
    <t xml:space="preserve">      323 usluge </t>
  </si>
  <si>
    <t xml:space="preserve">       322 materijal (dr.dom, vrtić, zgrada općine, Brodić, Pavlanci)</t>
  </si>
  <si>
    <t xml:space="preserve">      323 drveće- cimprese sadnja </t>
  </si>
  <si>
    <t xml:space="preserve">     3224      usluge za održavanje postrojenja i opreme</t>
  </si>
  <si>
    <t xml:space="preserve">     3224      usluge održavanja traktora</t>
  </si>
  <si>
    <t xml:space="preserve">     3224      usluga rušenja, orezivanja i sadnje drveća</t>
  </si>
  <si>
    <t xml:space="preserve">     3223       gorivo i mazivo</t>
  </si>
  <si>
    <t xml:space="preserve">     3224      materijal za održavanje postrojenja i opreme</t>
  </si>
  <si>
    <t xml:space="preserve">     3224     materijal za traktor </t>
  </si>
  <si>
    <t xml:space="preserve">      322     cveće i drveće</t>
  </si>
  <si>
    <t xml:space="preserve">     3232     zimska služba</t>
  </si>
  <si>
    <t xml:space="preserve">        32  MATERIJALNI RASHODI</t>
  </si>
  <si>
    <t xml:space="preserve">      323 RASHODI ZA USLUGE</t>
  </si>
  <si>
    <t>Aktivnost  xxxxxx SECAP i strategija zelene urbane obnove</t>
  </si>
  <si>
    <t xml:space="preserve">KP novo Izgradnja dijela nerazvrstane cste, naselje Brodić NC 24 </t>
  </si>
  <si>
    <t xml:space="preserve">Kapitalni projekt Brižne ruke Podravske </t>
  </si>
  <si>
    <t>Prihod od zakupa poljop.zemljišta</t>
  </si>
  <si>
    <t>Članak 1.</t>
  </si>
  <si>
    <t>Članak 2.</t>
  </si>
  <si>
    <t>UKUPNO PRIHODI</t>
  </si>
  <si>
    <t>UKUPNO RASHODI</t>
  </si>
  <si>
    <t>C. PRENESENI VIŠAK ILI PRENESENI MANJAK</t>
  </si>
  <si>
    <t>UKUPAN DONOS VIŠKA/MANJKA IZ</t>
  </si>
  <si>
    <t>2026.</t>
  </si>
  <si>
    <t>Vlastiti izvori</t>
  </si>
  <si>
    <t>Rezultat poslovanja</t>
  </si>
  <si>
    <t>Članak 3.</t>
  </si>
  <si>
    <t>i ekonomskoj klasifikaciji po izvorima financiranja kako slijedi:</t>
  </si>
  <si>
    <t>Članak 4.</t>
  </si>
  <si>
    <t>Članak 5.</t>
  </si>
  <si>
    <t xml:space="preserve">Proračun će se objaviti u "Službenom glasniku Koprivničko-križevačke županije", a stupa na snagu 1. siječnja </t>
  </si>
  <si>
    <t>Kazne, upravne mjere i ostali prihodi</t>
  </si>
  <si>
    <t>PRETHODNE(IH) GODINE</t>
  </si>
  <si>
    <t>Program 1022: Sufinanciranje vjerskih zajednica</t>
  </si>
  <si>
    <t xml:space="preserve">Aktivnost A100002 Općinsko vijeće i radna tijela Općinskog vijeća </t>
  </si>
  <si>
    <t>Aktivnost A100201 Redovni rad Jedinstvenog upravnog odjela</t>
  </si>
  <si>
    <t xml:space="preserve">Aktivnost A100203 - Izrada dokumentacije </t>
  </si>
  <si>
    <t>Aktivnost A100205 Nabava opreme i namještaja</t>
  </si>
  <si>
    <t xml:space="preserve">Kapitalni projekt KP100301 Sufinanciranje ŽUC </t>
  </si>
  <si>
    <t xml:space="preserve">Aktivnost A100401 Redovni rad osoba na javnim radovima </t>
  </si>
  <si>
    <t xml:space="preserve">Aktivnost A100501 Poticanje poljoprivredne proizvodnje </t>
  </si>
  <si>
    <t>Aktivnost A100601 Subvencije u turizmu</t>
  </si>
  <si>
    <t>Program 1007: Održavanje komunalne infrastrukture</t>
  </si>
  <si>
    <t>Aktivnost A100701 Održavanje  nerazvrstanih</t>
  </si>
  <si>
    <t>cesta</t>
  </si>
  <si>
    <t>Aktivnost A100702 Održavanje čistoće javnih površina</t>
  </si>
  <si>
    <t xml:space="preserve">Aktivnost A100703 Održavanje javnih zelenih površina </t>
  </si>
  <si>
    <t>Aktivnost A100704 Održavanje građevina, uređaja i predmeta javne namjene</t>
  </si>
  <si>
    <t>Aktivnost A100705 Održavanje groblja</t>
  </si>
  <si>
    <t xml:space="preserve">Aktivnost A100706 Održavanje građevina javne odvodnje oborinskih voda </t>
  </si>
  <si>
    <t xml:space="preserve">Aktivnost A100707 Tekuće održavanje mreže javne rasvjete </t>
  </si>
  <si>
    <t>Kapitalni projekt KP100901 Izgradnja sekundarnog</t>
  </si>
  <si>
    <t>Aktivnost A101001 Zaštita i uređenje okoliša</t>
  </si>
  <si>
    <t>Aktivnost A101002 Održavanje zatvorenog i saniranog odlagališta otpada Orl</t>
  </si>
  <si>
    <t>Kapitalni projekt KP101003 Nabava opreme za zaštitu okoliša</t>
  </si>
  <si>
    <t>Aktivnost A101101 Veterinarske usluge</t>
  </si>
  <si>
    <t xml:space="preserve">Kapitalni projekt KP101201 Izgradnja spremišta komunalne opreme </t>
  </si>
  <si>
    <t>Aktivnost A101202 Kapitalna i tekuća ulaganja u prijevozna sredstva u riječnom prometu</t>
  </si>
  <si>
    <t>Kapitalni projekt KP101301 Izgradnja i održavanje turističke infrastrukture</t>
  </si>
  <si>
    <t>Aktivnost A101401 Redovni rad DV "Košutica"</t>
  </si>
  <si>
    <t xml:space="preserve">Aktivnost A101501 Unaprjeđenje nastave u </t>
  </si>
  <si>
    <t>Aktivnost A101502 Sufinanciranje nabave školske opreme</t>
  </si>
  <si>
    <t xml:space="preserve">Aktivnost A101601 Novčana pomoć  učenicima </t>
  </si>
  <si>
    <t>Aktivnost A101701 Studentske stipendije</t>
  </si>
  <si>
    <t>Aktivnost A101801 Sufinanciranje rada vatrogasnih zajednica i postrojbi</t>
  </si>
  <si>
    <t>Aktivnost A101901 Sufinanciranje rada civilne zaštite i HGSS-a</t>
  </si>
  <si>
    <t xml:space="preserve">Aktivnost A102001 Sufinanciranje programa </t>
  </si>
  <si>
    <t xml:space="preserve">Aktivnost A102101 Sufinanciranje udruga u kulturi  </t>
  </si>
  <si>
    <t>Aktivnost A102201 Sufinanciranje župe i župnog ureda</t>
  </si>
  <si>
    <t>Aktivnost A102301 Pomoć obiteljima</t>
  </si>
  <si>
    <t>Aktivnost A102302 Pokloni djeci za blagdane</t>
  </si>
  <si>
    <t>Aktivnost A102303 Brižne ruke Podravske</t>
  </si>
  <si>
    <t>Aktivnost A102401 Sufinanciranje udruga i društava</t>
  </si>
  <si>
    <t>Aktivnost A102501 Sufinanciranje zdravstvenih usluga</t>
  </si>
  <si>
    <t>Aktivnost A102601 Sufinanciranje projekata</t>
  </si>
  <si>
    <t>045 Cestovni promet</t>
  </si>
  <si>
    <t>105 Nezaposlenost</t>
  </si>
  <si>
    <t>Funkcijska klasifikacija 105 Nezaposlenost</t>
  </si>
  <si>
    <t>062 Razvoj zajednice</t>
  </si>
  <si>
    <t>056 Poslovi i usluge zaštite okoliša koji nisu drugdje svrstani</t>
  </si>
  <si>
    <t>064 Ulična rasvjeta</t>
  </si>
  <si>
    <t>063 Opskrba vodom</t>
  </si>
  <si>
    <t>051 Gospodarenje otpadom</t>
  </si>
  <si>
    <t xml:space="preserve">066 Rashodi za stanovanje i kom. pogodnosti koji nisu drugdje svrstani </t>
  </si>
  <si>
    <t xml:space="preserve">032 Usluge protupožarne zaštite </t>
  </si>
  <si>
    <t>022 Civilna obrana</t>
  </si>
  <si>
    <t>081 Službe rekreacije i sporta</t>
  </si>
  <si>
    <t xml:space="preserve">082 Službe kulture </t>
  </si>
  <si>
    <t>084 Religijska i druge službe zajednice</t>
  </si>
  <si>
    <t xml:space="preserve">104 Obitelj i djeca </t>
  </si>
  <si>
    <t>102 Starost</t>
  </si>
  <si>
    <t xml:space="preserve">107 Socijalna pomoć stanovništvu koje nije obuhvaćeno redovnim socijalnim programima </t>
  </si>
  <si>
    <t xml:space="preserve">072 Službe za vanjske pacijente </t>
  </si>
  <si>
    <t xml:space="preserve">086 Rashodi za rekreaciju, kulturu i religiju koji nisu drugdje svrstani </t>
  </si>
  <si>
    <t>PREDSJEDNIK</t>
  </si>
  <si>
    <t>Demografija fiskalna održivost vrtića</t>
  </si>
  <si>
    <t>OSTALI PRIHODI</t>
  </si>
  <si>
    <t xml:space="preserve">Ostali nespomenuti </t>
  </si>
  <si>
    <t>Projekcija proračuna
za 2027.</t>
  </si>
  <si>
    <t>Brojčana oznaka i naziv</t>
  </si>
  <si>
    <t>1.1 Prihodi od poreza</t>
  </si>
  <si>
    <t>1.2 Prihodi od financijske imovine i kamata</t>
  </si>
  <si>
    <t xml:space="preserve">1.3 Prihodi od nefinancijske imovine </t>
  </si>
  <si>
    <t xml:space="preserve">1.4. Ostali prihodi </t>
  </si>
  <si>
    <t>4.1 Prihod od grobne naknade</t>
  </si>
  <si>
    <t>4.2 Prihod od komunalne naknade</t>
  </si>
  <si>
    <t>4.3 Prihod od šumskog doprinosa</t>
  </si>
  <si>
    <t>4.4 Prihodi od nefinancijske imovine - koncesije</t>
  </si>
  <si>
    <t>4.5 Prihodi vodnog gospodarstva</t>
  </si>
  <si>
    <t>5.1 Pomoći temeljem prijenosa Eu sredstava</t>
  </si>
  <si>
    <t xml:space="preserve">5.2. Pomoći proračunu iz drugih proračuna </t>
  </si>
  <si>
    <t>nefinancijske imovine i naknade s naslova osiguranja</t>
  </si>
  <si>
    <t xml:space="preserve">RASHODI UKUPNO </t>
  </si>
  <si>
    <t xml:space="preserve">013 Opće usluge </t>
  </si>
  <si>
    <t xml:space="preserve">109 Aktivnosti socijalne zaštite koje nisu drugdje svrstane </t>
  </si>
  <si>
    <t>2027.</t>
  </si>
  <si>
    <t xml:space="preserve">kako slijedi: </t>
  </si>
  <si>
    <t>izvorima financiranja kako slijedi:</t>
  </si>
  <si>
    <t>Članak 6.</t>
  </si>
  <si>
    <t>Članak 7.</t>
  </si>
  <si>
    <t>Članak 8.</t>
  </si>
  <si>
    <t>Članak 9.</t>
  </si>
  <si>
    <t>Članak 10.</t>
  </si>
  <si>
    <t xml:space="preserve">30.000,00 mjesečno </t>
  </si>
  <si>
    <t>Porez na potrošnju</t>
  </si>
  <si>
    <t>Tekuće pomoći iz državnog proračuna-komp. Mjera</t>
  </si>
  <si>
    <t xml:space="preserve">skela tehnički pregled, osiguranja </t>
  </si>
  <si>
    <t>Pomoći iz DP min znanosti -za Dječji vrtić</t>
  </si>
  <si>
    <t>MJESEČNO CCA 6960 DOBIMO</t>
  </si>
  <si>
    <t>Kapitalne pomoći iz ŽP-(ceste i drugi projekti)</t>
  </si>
  <si>
    <t xml:space="preserve">žuc pješačka staza </t>
  </si>
  <si>
    <t>DP (MIN.)-staza Dravska</t>
  </si>
  <si>
    <t>Zaželi 4</t>
  </si>
  <si>
    <t>7 NA 12 MESECI i helena 10%</t>
  </si>
  <si>
    <t xml:space="preserve">Kapitalne pomoći eu aglomeracija </t>
  </si>
  <si>
    <t xml:space="preserve">PRIHODI OD UPRAVNIH I ADMINISTRATIVNIH </t>
  </si>
  <si>
    <t xml:space="preserve">PRISTOJBI, POSEBNIM PROPISIMA I NAKNADA </t>
  </si>
  <si>
    <t>Ostale pristojbe grobno mjesto</t>
  </si>
  <si>
    <t>Plan prihoda 2025</t>
  </si>
  <si>
    <t>raskid šantić</t>
  </si>
  <si>
    <t>plan 2025</t>
  </si>
  <si>
    <t xml:space="preserve">700 godišnje </t>
  </si>
  <si>
    <t>350 REGRES 350 BOŽIĆNICA</t>
  </si>
  <si>
    <t xml:space="preserve">zbroj po kontima </t>
  </si>
  <si>
    <t xml:space="preserve">Autorski honorari - koncert </t>
  </si>
  <si>
    <t xml:space="preserve">Zakupnine i najamnine </t>
  </si>
  <si>
    <t xml:space="preserve">Uredski i ostali materijal </t>
  </si>
  <si>
    <t xml:space="preserve">Rashodi za materijal i energiju </t>
  </si>
  <si>
    <t xml:space="preserve">Rashodi za usluge </t>
  </si>
  <si>
    <t>Ostali nespomeniti rashodi poslovanja</t>
  </si>
  <si>
    <t xml:space="preserve">Reprezentacija </t>
  </si>
  <si>
    <t xml:space="preserve">Aktivnost Proslava Dana Općine i ostale godišnje manifestacije </t>
  </si>
  <si>
    <t>Ostale int.usluge predstave</t>
  </si>
  <si>
    <t xml:space="preserve">Reprezentacija prigodni pokloni </t>
  </si>
  <si>
    <t>Zatezne kamate</t>
  </si>
  <si>
    <t>konji</t>
  </si>
  <si>
    <t>branitelji đurđevac</t>
  </si>
  <si>
    <t xml:space="preserve">7 000 neto </t>
  </si>
  <si>
    <t xml:space="preserve">cca 65% minimalca </t>
  </si>
  <si>
    <t xml:space="preserve">do 7000 po kupnji </t>
  </si>
  <si>
    <t xml:space="preserve">do 1200 po objektu </t>
  </si>
  <si>
    <t xml:space="preserve">29,00 po psu </t>
  </si>
  <si>
    <t xml:space="preserve">skrb cca190 mjesečno </t>
  </si>
  <si>
    <t xml:space="preserve">rezervacija 188 mjesečno </t>
  </si>
  <si>
    <t xml:space="preserve">cca 180 mjesečno </t>
  </si>
  <si>
    <t xml:space="preserve">dugovi ošasne </t>
  </si>
  <si>
    <t xml:space="preserve">fina </t>
  </si>
  <si>
    <t>erste</t>
  </si>
  <si>
    <t>lag</t>
  </si>
  <si>
    <t>turistička</t>
  </si>
  <si>
    <t>hrv zaj opć</t>
  </si>
  <si>
    <t>kontak</t>
  </si>
  <si>
    <t xml:space="preserve">isplate </t>
  </si>
  <si>
    <t xml:space="preserve">uredsko </t>
  </si>
  <si>
    <t>axiom</t>
  </si>
  <si>
    <t>antivirus 200</t>
  </si>
  <si>
    <t>wc</t>
  </si>
  <si>
    <t>šator</t>
  </si>
  <si>
    <t>napuhanac</t>
  </si>
  <si>
    <t xml:space="preserve">kopirka </t>
  </si>
  <si>
    <t>kosinus</t>
  </si>
  <si>
    <t xml:space="preserve">drava info </t>
  </si>
  <si>
    <t xml:space="preserve">podravsli radio </t>
  </si>
  <si>
    <t>čestitke</t>
  </si>
  <si>
    <t>dani općine 1100</t>
  </si>
  <si>
    <t>Internet</t>
  </si>
  <si>
    <t>z otok</t>
  </si>
  <si>
    <t xml:space="preserve">mobiteli </t>
  </si>
  <si>
    <t>BOŽIĆ 350*6</t>
  </si>
  <si>
    <t>REGRES 350*6</t>
  </si>
  <si>
    <t xml:space="preserve">jelo i piće sjednica </t>
  </si>
  <si>
    <t xml:space="preserve">zamp </t>
  </si>
  <si>
    <t>svibanj</t>
  </si>
  <si>
    <t xml:space="preserve">kolovoz </t>
  </si>
  <si>
    <t xml:space="preserve">sveukupno </t>
  </si>
  <si>
    <t xml:space="preserve">rashodi </t>
  </si>
  <si>
    <t>višak plan 25</t>
  </si>
  <si>
    <t>uk prih</t>
  </si>
  <si>
    <t xml:space="preserve">razlika uravnoteža </t>
  </si>
  <si>
    <t>VAL</t>
  </si>
  <si>
    <t xml:space="preserve">KP novo Rekonstrukcija pješačke staze u Dravskoj ulici II faza </t>
  </si>
  <si>
    <t>Ostali prometni objekti parking</t>
  </si>
  <si>
    <t xml:space="preserve">Izrada procjene od rizika </t>
  </si>
  <si>
    <t>plan 25</t>
  </si>
  <si>
    <t xml:space="preserve">brodić ceste </t>
  </si>
  <si>
    <t xml:space="preserve">pavlanci </t>
  </si>
  <si>
    <t>projektiranje</t>
  </si>
  <si>
    <t xml:space="preserve">nadzor </t>
  </si>
  <si>
    <t xml:space="preserve">vodenica </t>
  </si>
  <si>
    <t>12*100*10 mjeseci</t>
  </si>
  <si>
    <t>štuka 3500</t>
  </si>
  <si>
    <t>lovci 3500 nogometaši 50000</t>
  </si>
  <si>
    <t xml:space="preserve">ribe i lovci za 1.000 gore radi jela u svibnju </t>
  </si>
  <si>
    <t xml:space="preserve">prilaz druga strana i pregled i osiguranje </t>
  </si>
  <si>
    <t>Pomoći iz DP-staza pješačka min.reg razvoja</t>
  </si>
  <si>
    <t xml:space="preserve">Dp žuc  ŠIKANA </t>
  </si>
  <si>
    <t>DP (MIN.GRAD)</t>
  </si>
  <si>
    <t>1% u rashodu prepravit</t>
  </si>
  <si>
    <t xml:space="preserve">izračunati po porezu </t>
  </si>
  <si>
    <t>Kapitalni projekt Parking vrtić točan naziv</t>
  </si>
  <si>
    <t xml:space="preserve">KP Uređenje groblja izgadnjom staze </t>
  </si>
  <si>
    <t xml:space="preserve">prilaz </t>
  </si>
  <si>
    <t xml:space="preserve">ograda, antistres </t>
  </si>
  <si>
    <t xml:space="preserve">demografija vrtić ograda i vanjsko uređenje </t>
  </si>
  <si>
    <t xml:space="preserve">vrtić vanjsko uređenje ograde i ostalo </t>
  </si>
  <si>
    <t xml:space="preserve">javna rasvjeta helena </t>
  </si>
  <si>
    <t>krpanje</t>
  </si>
  <si>
    <t>KP Uređenje križanja ulice Trg slobode i P.Preradovića izradom horizontalnog usporivača</t>
  </si>
  <si>
    <t xml:space="preserve">samo predsjednički 1 10.000 za župana </t>
  </si>
  <si>
    <t>Održavanje skele, godišnji pregled i registracija i osig.</t>
  </si>
  <si>
    <t>Ceste</t>
  </si>
  <si>
    <t xml:space="preserve">Program 1027: Društvene manifestacije i promoviranje općine </t>
  </si>
  <si>
    <t xml:space="preserve">Aktivnost A102701  Proslava Dana Općine i ostale godišnje manifestacije </t>
  </si>
  <si>
    <t>Plan prihoda 2026</t>
  </si>
  <si>
    <t>Plan prihoda 2027</t>
  </si>
  <si>
    <t>BROJČANA OZNAKA I NAZIV</t>
  </si>
  <si>
    <t>prema funkcijskoj klasifikaciji, kako slijedi:</t>
  </si>
  <si>
    <t xml:space="preserve">Aktivnost  A101203 Održavanje građevinskih objekata u vlasništvu Općine </t>
  </si>
  <si>
    <t>Korisnik: Dječji vrtić "Košutica" Ferdinandovac</t>
  </si>
  <si>
    <t>Kapitalni projekt KP100811 Uređenje teniskog igrališta</t>
  </si>
  <si>
    <t xml:space="preserve">Aktivnost A100001 Djelatnost izvršnog tijela </t>
  </si>
  <si>
    <t>4.6 Ostali prihodi po posebnim propisima</t>
  </si>
  <si>
    <t>5.1.</t>
  </si>
  <si>
    <t>1.2.</t>
  </si>
  <si>
    <t>1.4.</t>
  </si>
  <si>
    <t>4.4.</t>
  </si>
  <si>
    <t>4.6.</t>
  </si>
  <si>
    <t xml:space="preserve">        U Računu prihoda i rashoda iskazani su prihodi poslovanja i prihodi od prodaje nefinancijske imovine te rashodi poslovanja i rashodi za nabavu nefinancijske imovine prema ekonomskoj klasifikaciji </t>
  </si>
  <si>
    <t xml:space="preserve">          U Računu prihoda i rashoda iskazani su prihodi poslovanja i prihodi od prodaje nefinancijske imovine te rashodi poslovanja i rashodi za nabavu nefinancijske imovine prema </t>
  </si>
  <si>
    <t xml:space="preserve">          U Računu prihoda i rashoda iskazani su prihodi poslovanja i prihodi od prodaje nefinancijske imovine te rashodi poslovanja i rashodi za nabavu nefinancijske imovine </t>
  </si>
  <si>
    <t xml:space="preserve">          U Računu financiranja iskazani su primici i izdaci prema ekonomskoj klasifikaciji kako slijedi:</t>
  </si>
  <si>
    <t xml:space="preserve">          U Računu financiranja iskazani su primici i izdaci prema izvorima financiranja kako slijedi:</t>
  </si>
  <si>
    <t xml:space="preserve">          Raspoloživa sredstva iz prethodnih godina (višak/manjak prihoda) prema ekonomskoj klasifikaciji planirana su kako slijedi:</t>
  </si>
  <si>
    <t>Kamate ovrhe izvor financiranja 1.2</t>
  </si>
  <si>
    <t>usluge vaganja i prijevoza skelom izvor 1.4</t>
  </si>
  <si>
    <t>Prihod uslužnosti prava puta od infrastr.operatera izvor 1.4</t>
  </si>
  <si>
    <t>izvor 1.1.</t>
  </si>
  <si>
    <t>izvor 5</t>
  </si>
  <si>
    <t>hkud 2.500,00</t>
  </si>
  <si>
    <t>pjevaći 2.500,00</t>
  </si>
  <si>
    <t>PRORAČUN OPĆINE FERDINANDOVAC ZA 2026. I PROJEKCIJE ZA 2027. I 2028. GODINU</t>
  </si>
  <si>
    <t xml:space="preserve">           Proračun Općine Ferdinandovac za 2026. i projekcije za 2027. i 2028. godinu (u daljnjem tekstu: Proračun) sastoji  se od:</t>
  </si>
  <si>
    <t xml:space="preserve">Izvršenje 2024. </t>
  </si>
  <si>
    <t>Izvršenje 2024.</t>
  </si>
  <si>
    <t>2028.</t>
  </si>
  <si>
    <t>Proračun za 2026.</t>
  </si>
  <si>
    <t>Projekcija proračuna
za 2028.</t>
  </si>
  <si>
    <t xml:space="preserve">Plan 2025. </t>
  </si>
  <si>
    <t>Plan 2025.</t>
  </si>
  <si>
    <t>Aktivnost A100207 Digitalna transformacija javne uprave</t>
  </si>
  <si>
    <t>PLAN 2026</t>
  </si>
  <si>
    <t>KP100301 SUFINANCIRANJE ŽUC</t>
  </si>
  <si>
    <t>A100207 DIGITALNA TRANSFORMACIJA JAVNE UPRAVE</t>
  </si>
  <si>
    <t>A10102 održavanje zatvorenog i saniranog odlagališta OTPADA ORL</t>
  </si>
  <si>
    <t>KP 101203 IZGRADNJA DIJELA NOVOG PLINOVODA OF</t>
  </si>
  <si>
    <t>PLINOVOD</t>
  </si>
  <si>
    <t>Aktivnost A102401  :Sufinanciranje udruga i društava</t>
  </si>
  <si>
    <t xml:space="preserve">Kapitalni projekt 100810: Rekonstrukcija sportskih </t>
  </si>
  <si>
    <t>Kapitalni projekt Tenisko 100811</t>
  </si>
  <si>
    <t>Aktivnost A102101: Sufinanc. udruga u kulturi</t>
  </si>
  <si>
    <t>Aktivnost A102201: Sufinanc. župe i žup.ureda</t>
  </si>
  <si>
    <t>Kapitalni projekt 100901: Izgradnja sekundarnog vodovoda</t>
  </si>
  <si>
    <t>CESTE</t>
  </si>
  <si>
    <t xml:space="preserve">OSTALI PROMETNI OBJEKTI </t>
  </si>
  <si>
    <t>Kapitalni projekt IZGRADNJA PJEŠAČKIH STAZA PODRUČJU OPĆINE</t>
  </si>
  <si>
    <t>ŠIKANA</t>
  </si>
  <si>
    <t xml:space="preserve">Kapitalni projekt UREĐENJE I OPREMANJE DJEČJIH IGRALIŠTA NA PODRUČJU OPĆINE </t>
  </si>
  <si>
    <t>KONTO =??????</t>
  </si>
  <si>
    <t>Plan prihoda 2028</t>
  </si>
  <si>
    <t xml:space="preserve">lag rasvjeta nogometno </t>
  </si>
  <si>
    <t>kc kž 9.000,00 ceste</t>
  </si>
  <si>
    <t xml:space="preserve">zelena urbana obnova </t>
  </si>
  <si>
    <t>85% eu</t>
  </si>
  <si>
    <t>Demografija dječja igrališta na području OF</t>
  </si>
  <si>
    <t xml:space="preserve">ugovori voditelj tamburaša i nogomet </t>
  </si>
  <si>
    <t xml:space="preserve">glazbala i lopte </t>
  </si>
  <si>
    <t xml:space="preserve">usluge tiska projekta </t>
  </si>
  <si>
    <t>UPISANO PREMA PROVEDBENOM PLANU ZA 2026</t>
  </si>
  <si>
    <t>kuhinja, stolac ivana</t>
  </si>
  <si>
    <t>ISPLAĆENO U 25</t>
  </si>
  <si>
    <t>ISPLAĆENO U 2025</t>
  </si>
  <si>
    <t xml:space="preserve">UZORNA ŽENA </t>
  </si>
  <si>
    <t>MALI PRINC</t>
  </si>
  <si>
    <t>PREMA IZRAČUNU ZA 2026</t>
  </si>
  <si>
    <t>PRIJEVOZ NA POSAO PAUŠAL 50</t>
  </si>
  <si>
    <t xml:space="preserve">50 mesečNo </t>
  </si>
  <si>
    <t xml:space="preserve">helena 10% od bruta </t>
  </si>
  <si>
    <t>2 na 6  mjeseca</t>
  </si>
  <si>
    <t>20,00 paušal</t>
  </si>
  <si>
    <t xml:space="preserve">prema rashodima isto sve </t>
  </si>
  <si>
    <t>izvor financiranja 1.1</t>
  </si>
  <si>
    <t>prometna edukacija djece, škola plivanja</t>
  </si>
  <si>
    <t xml:space="preserve">Ostale naknade građanima i kućanstvima i ZVIJEZDA ŠKOLE </t>
  </si>
  <si>
    <t xml:space="preserve">ZVEZDA ŠKOLE </t>
  </si>
  <si>
    <t>JEDNOKRATNE POMOĆI 1400</t>
  </si>
  <si>
    <t xml:space="preserve">40eura BILO 100 ZAHTJEVA </t>
  </si>
  <si>
    <t>kapelica brodić 2.708,00 za 2026</t>
  </si>
  <si>
    <t>Ostali rashodi za zaposlene (regres, božićnice,)</t>
  </si>
  <si>
    <t>5,57kn*23dana*11 meseci*2</t>
  </si>
  <si>
    <t>HEL, MEĐO</t>
  </si>
  <si>
    <t>ostali oglasi jn 500</t>
  </si>
  <si>
    <t>sobota cca</t>
  </si>
  <si>
    <t>kontak riznica 1000</t>
  </si>
  <si>
    <t>kasko ao traktor 300</t>
  </si>
  <si>
    <t>građevina i fotonaponska i pema trečima 2500</t>
  </si>
  <si>
    <t>kombi 250</t>
  </si>
  <si>
    <t xml:space="preserve">krave </t>
  </si>
  <si>
    <t xml:space="preserve">svinje </t>
  </si>
  <si>
    <t xml:space="preserve">usjevi </t>
  </si>
  <si>
    <t>Kapitalni projekt Asfaltiranje trepče</t>
  </si>
  <si>
    <t>PATAČKO 280</t>
  </si>
  <si>
    <t xml:space="preserve">UNIJA NOVA </t>
  </si>
  <si>
    <t>ZELENI</t>
  </si>
  <si>
    <t xml:space="preserve">MIJEŠANI </t>
  </si>
  <si>
    <t xml:space="preserve">AGROFOLIJA </t>
  </si>
  <si>
    <t xml:space="preserve">90% U PRIHODE DETI </t>
  </si>
  <si>
    <t xml:space="preserve">DP rad voditelja tamburaša I NOGOMET OPREMA </t>
  </si>
  <si>
    <t>PROMIDŽBA</t>
  </si>
  <si>
    <t xml:space="preserve">uk trošk vrtića </t>
  </si>
  <si>
    <t>Izvršenje 22.10.25.</t>
  </si>
  <si>
    <t>Aktivnost 10004 Izbori za lokalnu samoupravu</t>
  </si>
  <si>
    <t>promidžba</t>
  </si>
  <si>
    <t>naknade odborima</t>
  </si>
  <si>
    <t xml:space="preserve">cvijeće </t>
  </si>
  <si>
    <t>predsjednički</t>
  </si>
  <si>
    <t xml:space="preserve">SPORTSKI PARK rasvjeta </t>
  </si>
  <si>
    <t>KC KŽ izgradnja NC</t>
  </si>
  <si>
    <t xml:space="preserve">80% min demografije </t>
  </si>
  <si>
    <t>KCKŽ spermište kom. Opreme</t>
  </si>
  <si>
    <t>izvršenje 22.10.25.</t>
  </si>
  <si>
    <t xml:space="preserve">Promidžba, tisak </t>
  </si>
  <si>
    <t>nmova komunalna</t>
  </si>
  <si>
    <t xml:space="preserve">riznica </t>
  </si>
  <si>
    <t xml:space="preserve">ukinuto za 2025 i nadalje </t>
  </si>
  <si>
    <t xml:space="preserve">DP-zajednički polj.redar </t>
  </si>
  <si>
    <t>hel 10 g rada do 300</t>
  </si>
  <si>
    <t>DIGITALNA 85%</t>
  </si>
  <si>
    <t xml:space="preserve">SUFINANCIRANJE STARAČKIH DOMOVA </t>
  </si>
  <si>
    <t>MONOGRAFIJA KNJIGA</t>
  </si>
  <si>
    <t xml:space="preserve">Izrada projektne natječajne dokumentacije ZA NEPLANIRANI PROJEKT </t>
  </si>
  <si>
    <t xml:space="preserve">bitumeniz </t>
  </si>
  <si>
    <t xml:space="preserve">košnja bankina   </t>
  </si>
  <si>
    <t xml:space="preserve">greder  </t>
  </si>
  <si>
    <t>šodrenje 17.000</t>
  </si>
  <si>
    <t xml:space="preserve">ZNAKOVI  TRG SLOBODE </t>
  </si>
  <si>
    <t xml:space="preserve">SAJMIŠTE </t>
  </si>
  <si>
    <t xml:space="preserve">TENISKO RASVJETA </t>
  </si>
  <si>
    <t xml:space="preserve">RADOVI </t>
  </si>
  <si>
    <t>PROJEKTNA REŠENA  U 2025</t>
  </si>
  <si>
    <t xml:space="preserve">Pomoći iz DP-turist.infrastruktura VODENICA </t>
  </si>
  <si>
    <t xml:space="preserve">STAMBENO POVRAT ZA KUĆE </t>
  </si>
  <si>
    <t xml:space="preserve">POREZ NA NEKRETNINE </t>
  </si>
  <si>
    <t xml:space="preserve">LEGALIZACIJA </t>
  </si>
  <si>
    <t>povećati rizica NA 1. IZMJENAMA</t>
  </si>
  <si>
    <t>23.664,29  imaju pravo u 2026</t>
  </si>
  <si>
    <t>regionalno Plinska mreža</t>
  </si>
  <si>
    <t xml:space="preserve">prostorno PJEŠAČKE STAZE </t>
  </si>
  <si>
    <t>JVP POREZ ( 14.025,60) I NAMIRENJE MANJKA</t>
  </si>
  <si>
    <t xml:space="preserve">Stambeni objekti+ prodaja ošasne imovine </t>
  </si>
  <si>
    <t xml:space="preserve">sufinanciranje priključaka vode </t>
  </si>
  <si>
    <t xml:space="preserve">priključak na vodu vrtić i mi </t>
  </si>
  <si>
    <t>1000 rukomet</t>
  </si>
  <si>
    <t>31 Vlastiti prihodi proračunski korisnici</t>
  </si>
  <si>
    <t>IZVOR FINANCIRANJA: 1 Opći prihodi i primici</t>
  </si>
  <si>
    <t>11 Opći prihodi i primici</t>
  </si>
  <si>
    <t>IZVOR FINANCIRANJA: 3 Vlastiti prihodi</t>
  </si>
  <si>
    <t>IZVOR FINANCIRANJA: 4 Prihodi za posebne namjene</t>
  </si>
  <si>
    <t>40 Prihodi od komunalne naknade i komunalnog doprinosa</t>
  </si>
  <si>
    <t>42 Prihodi od spomeničke rente</t>
  </si>
  <si>
    <t>43 Ostali prihodi za posebne namjene</t>
  </si>
  <si>
    <t>IZVOR FINANCIRANJA: 5 Pomoći</t>
  </si>
  <si>
    <t xml:space="preserve">50 Pomoći iz državnog proračuna </t>
  </si>
  <si>
    <t xml:space="preserve">52 Ostale pomoći </t>
  </si>
  <si>
    <t>56 Fondovi EU</t>
  </si>
  <si>
    <t>IZVOR FINANCIRANJA: 2 Doprinosi</t>
  </si>
  <si>
    <t xml:space="preserve">IZVOR FINANCIRANJA: 6 Donacije </t>
  </si>
  <si>
    <t>IZVOR FINANCIRANJA: 7 Prihodi od prodaje ili zamjene</t>
  </si>
  <si>
    <t>IZVOR FINANCIRANJA: 8 Namjenski primici od zaduživanja</t>
  </si>
  <si>
    <t>563 Europski fond za regionalni razvoj</t>
  </si>
  <si>
    <t xml:space="preserve">565 Europski poljoprivredni fond za ruralni razvoj </t>
  </si>
  <si>
    <t>561 Europski socijalni fond plus</t>
  </si>
  <si>
    <t>Izvor financiranja: 11 Opći prihodi i primici</t>
  </si>
  <si>
    <t xml:space="preserve">Izvor financiranja 11 Opći prihodi i primici </t>
  </si>
  <si>
    <t>Izvor financiranja: 561 Europski socijalni fond plus</t>
  </si>
  <si>
    <t>Izvor financiranja: 50 Pomoći iz državnog proračuna</t>
  </si>
  <si>
    <t xml:space="preserve">Izvor financiranja: 31 Vlastiti prihodi </t>
  </si>
  <si>
    <t xml:space="preserve">Izvor financiranja 50 Pomoći iz državnog proračuna </t>
  </si>
  <si>
    <t>Izvor financiranja 31 Vlastiti prihodi</t>
  </si>
  <si>
    <t>vodovoda i odvodnje</t>
  </si>
  <si>
    <t xml:space="preserve">Izvor financiranja: 563 Europski fond za regionalni razvoj </t>
  </si>
  <si>
    <t xml:space="preserve">Kapitalni projekt KP100818 Izgradnja pješačkih staza na području Općine Ferdinandovac </t>
  </si>
  <si>
    <t xml:space="preserve">Izvor financiranja 563 Europski fond za regionalni razvoj </t>
  </si>
  <si>
    <t>Kapitalni projekt KP100805 Izgradnja dijela NC 24, naselje Brodić</t>
  </si>
  <si>
    <t xml:space="preserve">Kapitalni projekt KP101205 Rekonstrukcija i dodatna ulaganja na građevinskim objektima </t>
  </si>
  <si>
    <t xml:space="preserve">Kapitalni projekt KP101204 Rekonstrukcija i dodatna ulaganja u dječji vrtić Košutica </t>
  </si>
  <si>
    <t>Kapitalni projekt KP101206 Izgradnja fotonaponskih elektrana na zgradama javne namjene</t>
  </si>
  <si>
    <t xml:space="preserve">Kapitalni projekt KP100814 Uređenje groblja </t>
  </si>
  <si>
    <t>projektna</t>
  </si>
  <si>
    <t>nasbava kom opreme</t>
  </si>
  <si>
    <t xml:space="preserve">katastarska izmjera </t>
  </si>
  <si>
    <t xml:space="preserve">bitumenizacija </t>
  </si>
  <si>
    <t xml:space="preserve">fotonaponske </t>
  </si>
  <si>
    <t>stara apoteka</t>
  </si>
  <si>
    <t xml:space="preserve">županija kap projekti </t>
  </si>
  <si>
    <t xml:space="preserve">Funkcijska klasifikacija 0911 Predškolsko obrazovanje </t>
  </si>
  <si>
    <t xml:space="preserve">Funkcijska klasifikacija 0912 Osnovnoškolsko obrazovanje </t>
  </si>
  <si>
    <t xml:space="preserve">Funkcijska klasifikacija 092 Srednjoškolsko obrazovanje </t>
  </si>
  <si>
    <t xml:space="preserve">Funkcijska klasifikacija 051 gospodarenje otpadom </t>
  </si>
  <si>
    <t xml:space="preserve">0473 Turizam </t>
  </si>
  <si>
    <t xml:space="preserve">Funkcijska klasifikacija 045 Cestovni promet </t>
  </si>
  <si>
    <t xml:space="preserve">Funkcijska klasifikacija 081 Službe rekreacije i sporta </t>
  </si>
  <si>
    <t xml:space="preserve">Funkcijska klasifikacija 109 Aktivnosti socijalne zaštite koje nisu drugdje svrstane </t>
  </si>
  <si>
    <t>Kapitalni projekt ZELENA OBNOVA OF</t>
  </si>
  <si>
    <t>Kapitalni projekt Rekonstrukcija NC u ulici Trepče</t>
  </si>
  <si>
    <t>Izvor financiranja: 52 Ostale pomoći</t>
  </si>
  <si>
    <t>Izvor financiranja 52 Ostale pomoći</t>
  </si>
  <si>
    <t>Izvor financiranja: 43 Ostali prihodi za posebne namjene (šumski doprinos)</t>
  </si>
  <si>
    <t>Kapitalni projekt KP100817 Izgradnja dječjeg igrališta u naselju Brodić</t>
  </si>
  <si>
    <t>Izvor financiranja: 43 Ostali prihodi za posebne namjene (naknada za koncesije)</t>
  </si>
  <si>
    <t>Izvor financiranja: 43 Ostali prihodi za posebne namjene (grobna naknada)</t>
  </si>
  <si>
    <t xml:space="preserve">Izvor financiranja: 565 Europski polj. fond za ruralni razvoj </t>
  </si>
  <si>
    <t xml:space="preserve">Izvor financiranja 70 Prihodi od prodaje nef. imovine </t>
  </si>
  <si>
    <t>Izvor financiranja: 43 Ostali prihodi za posebne namjene (naknada za dodjelu grobnog mjesta)</t>
  </si>
  <si>
    <t>Izvor financiranja 43 Ostali prihodi za posebne namjene</t>
  </si>
  <si>
    <t xml:space="preserve">Izvor financiranja 43 Ostali prihodi za posebne namjene </t>
  </si>
  <si>
    <t>Izvor financiranja 56 Fondovi EU</t>
  </si>
  <si>
    <t>Izvor financiranja 70 Prihodi od prodaje nef. imovine</t>
  </si>
  <si>
    <t>IZVOR FINANCIRANJA: 11 Opći prihodi i primici</t>
  </si>
  <si>
    <t>Izvor financiranja: 42  Prihod od spomeničke rente</t>
  </si>
  <si>
    <t>Izvor financiranja 42 Prihod od spomeničke rente</t>
  </si>
  <si>
    <t>Izvor financiranja 40 Prihod od kom. naknade i kom. doprinosa</t>
  </si>
  <si>
    <t>Izvor financiranja: 43 Ostali prihodi za posebne namjene</t>
  </si>
  <si>
    <t>Izvor financiranja: 40 Prihod od kom. naknade i kom. doprinosa</t>
  </si>
  <si>
    <t>Izvor financiranja: 40 Prihodi od kom. naknade i kom. doprinosa</t>
  </si>
  <si>
    <t xml:space="preserve">          Rashodi i izdaci proračuna u iznosu 2.451.361,20 eura raspoređuju se prema organizacijskoj, programskoj </t>
  </si>
  <si>
    <t xml:space="preserve">2026. godine. </t>
  </si>
  <si>
    <t>Vjekoslav Grguljaš</t>
  </si>
  <si>
    <t xml:space="preserve">    Obrazloženje Proračuna sastoji se od obrazloženja općeg i posebnog dijela proračuna i njegov je sastavni dio.</t>
  </si>
  <si>
    <t>III. ZAVRŠNA ODREDBA</t>
  </si>
  <si>
    <t>Kapitalni projekt  KP100819 Rekonstrukcija dijela nerazvrstane ceste u ulici Trepče</t>
  </si>
  <si>
    <t>Kapitalni projekt KP100816 Zelena obnova Ferdinandovca</t>
  </si>
  <si>
    <t>Kapitalni projekt KP100810 Rekonstrukcija sportskih i rekreacijskih prostora (Zamjena postojeće javne rasvjete nogometnog igrališta u Ferdinandovcu)</t>
  </si>
  <si>
    <t>Ferdinandovac, ______ 2025.</t>
  </si>
  <si>
    <t>URBROJ: 2137-15-25-____</t>
  </si>
  <si>
    <t>KLASA: 400-05/25-01/2</t>
  </si>
  <si>
    <t>OPĆINSKO VIJEĆE OPĆINE FERDINANDOVAC</t>
  </si>
  <si>
    <t xml:space="preserve">           Na temelju članka 42. Zakona o proračunu ("Narodne novine" broj  144/21) i članka 31. Statuta Općine Ferdinandovac ("Službeni glasnik Koprivničko-križevačke županije" broj 6/13, 1/18, 5/20. i 4/21), Općinsko vijeće Općine Ferdinandovac na ______. sjednici održanoj ________ 2025. godine donijelo je</t>
  </si>
  <si>
    <t>Kapitalni projekt KP100813 Izgradnja biciklističko-pješačke staze u naselju Ferdinandovac- faza II.</t>
  </si>
  <si>
    <t>Kapitalni projekt KP101203 Izgradnja dijela novog plinovoda na području Općine Ferdinandovac</t>
  </si>
  <si>
    <t>Nacrt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</si>
</sst>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6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/>
    <xf numFmtId="4" fontId="6" fillId="3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4" fontId="0" fillId="0" borderId="3" xfId="0" applyNumberFormat="1" applyBorder="1"/>
    <xf numFmtId="0" fontId="18" fillId="6" borderId="3" xfId="0" applyFont="1" applyFill="1" applyBorder="1"/>
    <xf numFmtId="0" fontId="9" fillId="7" borderId="3" xfId="0" applyFont="1" applyFill="1" applyBorder="1"/>
    <xf numFmtId="4" fontId="9" fillId="7" borderId="3" xfId="0" applyNumberFormat="1" applyFont="1" applyFill="1" applyBorder="1"/>
    <xf numFmtId="4" fontId="3" fillId="0" borderId="4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9" fillId="7" borderId="3" xfId="0" applyNumberFormat="1" applyFont="1" applyFill="1" applyBorder="1" applyAlignment="1">
      <alignment horizontal="right"/>
    </xf>
    <xf numFmtId="4" fontId="9" fillId="7" borderId="3" xfId="0" applyNumberFormat="1" applyFont="1" applyFill="1" applyBorder="1" applyAlignment="1">
      <alignment horizontal="right" shrinkToFit="1"/>
    </xf>
    <xf numFmtId="4" fontId="3" fillId="7" borderId="3" xfId="0" applyNumberFormat="1" applyFont="1" applyFill="1" applyBorder="1" applyAlignment="1">
      <alignment horizontal="right"/>
    </xf>
    <xf numFmtId="4" fontId="1" fillId="8" borderId="3" xfId="0" applyNumberFormat="1" applyFont="1" applyFill="1" applyBorder="1"/>
    <xf numFmtId="0" fontId="11" fillId="8" borderId="3" xfId="0" applyFont="1" applyFill="1" applyBorder="1"/>
    <xf numFmtId="0" fontId="11" fillId="9" borderId="3" xfId="0" applyFont="1" applyFill="1" applyBorder="1" applyAlignment="1">
      <alignment horizontal="left"/>
    </xf>
    <xf numFmtId="4" fontId="11" fillId="9" borderId="3" xfId="0" applyNumberFormat="1" applyFont="1" applyFill="1" applyBorder="1" applyAlignment="1">
      <alignment horizontal="right"/>
    </xf>
    <xf numFmtId="0" fontId="11" fillId="11" borderId="7" xfId="0" applyFont="1" applyFill="1" applyBorder="1"/>
    <xf numFmtId="0" fontId="0" fillId="0" borderId="0" xfId="0" applyAlignment="1">
      <alignment horizontal="left"/>
    </xf>
    <xf numFmtId="0" fontId="9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shrinkToFit="1"/>
    </xf>
    <xf numFmtId="4" fontId="18" fillId="0" borderId="0" xfId="0" applyNumberFormat="1" applyFont="1"/>
    <xf numFmtId="4" fontId="8" fillId="0" borderId="0" xfId="0" applyNumberFormat="1" applyFont="1"/>
    <xf numFmtId="0" fontId="9" fillId="0" borderId="3" xfId="0" applyFont="1" applyBorder="1"/>
    <xf numFmtId="4" fontId="9" fillId="0" borderId="3" xfId="0" applyNumberFormat="1" applyFont="1" applyBorder="1"/>
    <xf numFmtId="0" fontId="9" fillId="0" borderId="1" xfId="0" applyFont="1" applyBorder="1"/>
    <xf numFmtId="0" fontId="9" fillId="0" borderId="4" xfId="0" applyFont="1" applyBorder="1"/>
    <xf numFmtId="0" fontId="9" fillId="2" borderId="3" xfId="0" applyFont="1" applyFill="1" applyBorder="1"/>
    <xf numFmtId="0" fontId="9" fillId="0" borderId="2" xfId="0" applyFont="1" applyBorder="1"/>
    <xf numFmtId="4" fontId="9" fillId="0" borderId="0" xfId="0" applyNumberFormat="1" applyFont="1"/>
    <xf numFmtId="0" fontId="9" fillId="0" borderId="5" xfId="0" applyFont="1" applyBorder="1"/>
    <xf numFmtId="4" fontId="11" fillId="0" borderId="3" xfId="0" applyNumberFormat="1" applyFont="1" applyBorder="1"/>
    <xf numFmtId="0" fontId="21" fillId="0" borderId="0" xfId="0" applyFont="1"/>
    <xf numFmtId="0" fontId="11" fillId="6" borderId="3" xfId="0" applyFont="1" applyFill="1" applyBorder="1"/>
    <xf numFmtId="4" fontId="11" fillId="6" borderId="3" xfId="0" applyNumberFormat="1" applyFont="1" applyFill="1" applyBorder="1"/>
    <xf numFmtId="4" fontId="11" fillId="0" borderId="0" xfId="0" applyNumberFormat="1" applyFont="1"/>
    <xf numFmtId="2" fontId="7" fillId="0" borderId="3" xfId="0" applyNumberFormat="1" applyFont="1" applyBorder="1" applyAlignment="1">
      <alignment horizontal="center" vertical="center" wrapText="1"/>
    </xf>
    <xf numFmtId="0" fontId="21" fillId="12" borderId="3" xfId="0" applyFont="1" applyFill="1" applyBorder="1"/>
    <xf numFmtId="4" fontId="21" fillId="12" borderId="3" xfId="0" applyNumberFormat="1" applyFont="1" applyFill="1" applyBorder="1"/>
    <xf numFmtId="0" fontId="7" fillId="13" borderId="3" xfId="0" applyFont="1" applyFill="1" applyBorder="1"/>
    <xf numFmtId="4" fontId="7" fillId="13" borderId="3" xfId="0" applyNumberFormat="1" applyFont="1" applyFill="1" applyBorder="1"/>
    <xf numFmtId="0" fontId="18" fillId="14" borderId="3" xfId="0" applyFont="1" applyFill="1" applyBorder="1"/>
    <xf numFmtId="4" fontId="11" fillId="14" borderId="3" xfId="0" applyNumberFormat="1" applyFont="1" applyFill="1" applyBorder="1"/>
    <xf numFmtId="0" fontId="18" fillId="15" borderId="3" xfId="0" applyFont="1" applyFill="1" applyBorder="1"/>
    <xf numFmtId="0" fontId="0" fillId="15" borderId="3" xfId="0" applyFill="1" applyBorder="1"/>
    <xf numFmtId="4" fontId="11" fillId="15" borderId="3" xfId="0" applyNumberFormat="1" applyFont="1" applyFill="1" applyBorder="1"/>
    <xf numFmtId="4" fontId="11" fillId="16" borderId="3" xfId="0" applyNumberFormat="1" applyFont="1" applyFill="1" applyBorder="1"/>
    <xf numFmtId="0" fontId="11" fillId="5" borderId="3" xfId="0" applyFont="1" applyFill="1" applyBorder="1"/>
    <xf numFmtId="0" fontId="11" fillId="15" borderId="3" xfId="0" applyFont="1" applyFill="1" applyBorder="1"/>
    <xf numFmtId="4" fontId="22" fillId="13" borderId="3" xfId="0" applyNumberFormat="1" applyFont="1" applyFill="1" applyBorder="1"/>
    <xf numFmtId="4" fontId="9" fillId="5" borderId="3" xfId="0" applyNumberFormat="1" applyFont="1" applyFill="1" applyBorder="1"/>
    <xf numFmtId="0" fontId="9" fillId="15" borderId="3" xfId="0" applyFont="1" applyFill="1" applyBorder="1"/>
    <xf numFmtId="0" fontId="11" fillId="16" borderId="3" xfId="0" applyFont="1" applyFill="1" applyBorder="1"/>
    <xf numFmtId="4" fontId="18" fillId="14" borderId="3" xfId="0" applyNumberFormat="1" applyFont="1" applyFill="1" applyBorder="1"/>
    <xf numFmtId="4" fontId="11" fillId="16" borderId="3" xfId="0" applyNumberFormat="1" applyFont="1" applyFill="1" applyBorder="1" applyAlignment="1">
      <alignment horizontal="right"/>
    </xf>
    <xf numFmtId="4" fontId="19" fillId="0" borderId="0" xfId="0" applyNumberFormat="1" applyFont="1"/>
    <xf numFmtId="4" fontId="18" fillId="6" borderId="3" xfId="0" applyNumberFormat="1" applyFont="1" applyFill="1" applyBorder="1"/>
    <xf numFmtId="4" fontId="9" fillId="10" borderId="3" xfId="0" applyNumberFormat="1" applyFont="1" applyFill="1" applyBorder="1"/>
    <xf numFmtId="4" fontId="23" fillId="0" borderId="0" xfId="0" applyNumberFormat="1" applyFont="1"/>
    <xf numFmtId="0" fontId="11" fillId="17" borderId="7" xfId="0" applyFont="1" applyFill="1" applyBorder="1"/>
    <xf numFmtId="0" fontId="11" fillId="17" borderId="10" xfId="0" applyFont="1" applyFill="1" applyBorder="1"/>
    <xf numFmtId="0" fontId="11" fillId="17" borderId="12" xfId="0" applyFont="1" applyFill="1" applyBorder="1" applyAlignment="1">
      <alignment horizontal="left"/>
    </xf>
    <xf numFmtId="0" fontId="11" fillId="17" borderId="5" xfId="0" applyFont="1" applyFill="1" applyBorder="1" applyAlignment="1">
      <alignment horizontal="left"/>
    </xf>
    <xf numFmtId="0" fontId="11" fillId="17" borderId="3" xfId="0" applyFont="1" applyFill="1" applyBorder="1"/>
    <xf numFmtId="4" fontId="0" fillId="17" borderId="3" xfId="0" applyNumberFormat="1" applyFill="1" applyBorder="1"/>
    <xf numFmtId="0" fontId="11" fillId="17" borderId="1" xfId="0" applyFont="1" applyFill="1" applyBorder="1"/>
    <xf numFmtId="4" fontId="1" fillId="5" borderId="3" xfId="0" applyNumberFormat="1" applyFont="1" applyFill="1" applyBorder="1"/>
    <xf numFmtId="4" fontId="6" fillId="0" borderId="4" xfId="0" applyNumberFormat="1" applyFont="1" applyBorder="1" applyAlignment="1">
      <alignment horizontal="right"/>
    </xf>
    <xf numFmtId="4" fontId="1" fillId="17" borderId="3" xfId="0" applyNumberFormat="1" applyFont="1" applyFill="1" applyBorder="1"/>
    <xf numFmtId="0" fontId="1" fillId="0" borderId="0" xfId="0" applyFont="1"/>
    <xf numFmtId="0" fontId="14" fillId="0" borderId="0" xfId="0" applyFont="1"/>
    <xf numFmtId="0" fontId="25" fillId="0" borderId="0" xfId="0" applyFont="1"/>
    <xf numFmtId="0" fontId="27" fillId="0" borderId="0" xfId="0" applyFont="1"/>
    <xf numFmtId="4" fontId="3" fillId="0" borderId="3" xfId="0" applyNumberFormat="1" applyFont="1" applyBorder="1" applyAlignment="1">
      <alignment horizontal="right" wrapText="1"/>
    </xf>
    <xf numFmtId="4" fontId="24" fillId="0" borderId="0" xfId="0" applyNumberFormat="1" applyFont="1"/>
    <xf numFmtId="0" fontId="28" fillId="0" borderId="0" xfId="0" applyFont="1"/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25" fillId="0" borderId="0" xfId="0" applyNumberFormat="1" applyFont="1"/>
    <xf numFmtId="49" fontId="25" fillId="0" borderId="0" xfId="0" applyNumberFormat="1" applyFont="1"/>
    <xf numFmtId="0" fontId="25" fillId="0" borderId="3" xfId="0" applyFont="1" applyBorder="1"/>
    <xf numFmtId="4" fontId="25" fillId="0" borderId="3" xfId="0" applyNumberFormat="1" applyFont="1" applyBorder="1"/>
    <xf numFmtId="4" fontId="27" fillId="0" borderId="3" xfId="0" applyNumberFormat="1" applyFont="1" applyBorder="1"/>
    <xf numFmtId="4" fontId="27" fillId="0" borderId="0" xfId="0" applyNumberFormat="1" applyFont="1"/>
    <xf numFmtId="0" fontId="12" fillId="0" borderId="0" xfId="0" applyFont="1" applyAlignment="1">
      <alignment wrapText="1"/>
    </xf>
    <xf numFmtId="0" fontId="11" fillId="0" borderId="0" xfId="0" quotePrefix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31" fillId="0" borderId="0" xfId="0" quotePrefix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0" fillId="19" borderId="3" xfId="0" applyNumberFormat="1" applyFill="1" applyBorder="1"/>
    <xf numFmtId="4" fontId="11" fillId="1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/>
    </xf>
    <xf numFmtId="4" fontId="18" fillId="20" borderId="3" xfId="0" applyNumberFormat="1" applyFont="1" applyFill="1" applyBorder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4" fontId="1" fillId="0" borderId="0" xfId="0" applyNumberFormat="1" applyFont="1"/>
    <xf numFmtId="0" fontId="9" fillId="0" borderId="0" xfId="0" applyFont="1" applyAlignment="1">
      <alignment horizontal="left" shrinkToFit="1"/>
    </xf>
    <xf numFmtId="0" fontId="11" fillId="0" borderId="3" xfId="0" applyFont="1" applyBorder="1"/>
    <xf numFmtId="4" fontId="18" fillId="20" borderId="0" xfId="0" applyNumberFormat="1" applyFont="1" applyFill="1" applyAlignment="1">
      <alignment horizontal="right"/>
    </xf>
    <xf numFmtId="0" fontId="1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1" fillId="4" borderId="1" xfId="0" quotePrefix="1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 wrapText="1"/>
    </xf>
    <xf numFmtId="4" fontId="11" fillId="3" borderId="1" xfId="0" quotePrefix="1" applyNumberFormat="1" applyFont="1" applyFill="1" applyBorder="1" applyAlignment="1">
      <alignment horizontal="right"/>
    </xf>
    <xf numFmtId="4" fontId="11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6" fillId="0" borderId="0" xfId="0" applyFont="1"/>
    <xf numFmtId="49" fontId="37" fillId="2" borderId="3" xfId="0" applyNumberFormat="1" applyFont="1" applyFill="1" applyBorder="1" applyAlignment="1">
      <alignment horizontal="left" vertical="center" wrapText="1"/>
    </xf>
    <xf numFmtId="4" fontId="35" fillId="0" borderId="4" xfId="0" applyNumberFormat="1" applyFont="1" applyBorder="1" applyAlignment="1">
      <alignment horizontal="right"/>
    </xf>
    <xf numFmtId="49" fontId="23" fillId="2" borderId="3" xfId="0" applyNumberFormat="1" applyFont="1" applyFill="1" applyBorder="1" applyAlignment="1">
      <alignment horizontal="left" vertical="center" wrapText="1"/>
    </xf>
    <xf numFmtId="4" fontId="38" fillId="2" borderId="4" xfId="0" applyNumberFormat="1" applyFont="1" applyFill="1" applyBorder="1" applyAlignment="1">
      <alignment horizontal="right"/>
    </xf>
    <xf numFmtId="4" fontId="38" fillId="0" borderId="3" xfId="0" applyNumberFormat="1" applyFont="1" applyBorder="1" applyAlignment="1">
      <alignment horizontal="right"/>
    </xf>
    <xf numFmtId="4" fontId="35" fillId="2" borderId="4" xfId="0" applyNumberFormat="1" applyFont="1" applyFill="1" applyBorder="1" applyAlignment="1">
      <alignment horizontal="right"/>
    </xf>
    <xf numFmtId="4" fontId="38" fillId="0" borderId="3" xfId="0" applyNumberFormat="1" applyFont="1" applyBorder="1" applyAlignment="1">
      <alignment horizontal="right" wrapText="1"/>
    </xf>
    <xf numFmtId="49" fontId="36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9" fillId="0" borderId="0" xfId="0" applyFont="1"/>
    <xf numFmtId="49" fontId="38" fillId="2" borderId="3" xfId="0" applyNumberFormat="1" applyFont="1" applyFill="1" applyBorder="1" applyAlignment="1">
      <alignment horizontal="left"/>
    </xf>
    <xf numFmtId="4" fontId="39" fillId="0" borderId="3" xfId="0" applyNumberFormat="1" applyFont="1" applyBorder="1"/>
    <xf numFmtId="49" fontId="36" fillId="0" borderId="3" xfId="0" applyNumberFormat="1" applyFont="1" applyBorder="1"/>
    <xf numFmtId="49" fontId="36" fillId="0" borderId="3" xfId="0" applyNumberFormat="1" applyFont="1" applyBorder="1" applyAlignment="1">
      <alignment wrapText="1"/>
    </xf>
    <xf numFmtId="4" fontId="39" fillId="0" borderId="0" xfId="0" applyNumberFormat="1" applyFont="1"/>
    <xf numFmtId="4" fontId="38" fillId="2" borderId="0" xfId="0" applyNumberFormat="1" applyFont="1" applyFill="1" applyAlignment="1">
      <alignment horizontal="right"/>
    </xf>
    <xf numFmtId="0" fontId="11" fillId="17" borderId="1" xfId="0" applyFont="1" applyFill="1" applyBorder="1" applyAlignment="1">
      <alignment horizontal="left"/>
    </xf>
    <xf numFmtId="0" fontId="11" fillId="17" borderId="2" xfId="0" applyFont="1" applyFill="1" applyBorder="1" applyAlignment="1">
      <alignment horizontal="left"/>
    </xf>
    <xf numFmtId="0" fontId="29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horizontal="left"/>
    </xf>
    <xf numFmtId="4" fontId="18" fillId="14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shrinkToFit="1"/>
    </xf>
    <xf numFmtId="16" fontId="9" fillId="0" borderId="1" xfId="0" applyNumberFormat="1" applyFont="1" applyBorder="1" applyAlignment="1">
      <alignment horizontal="left" shrinkToFit="1"/>
    </xf>
    <xf numFmtId="0" fontId="9" fillId="0" borderId="8" xfId="0" applyFont="1" applyBorder="1" applyAlignment="1">
      <alignment horizontal="left" shrinkToFit="1"/>
    </xf>
    <xf numFmtId="0" fontId="9" fillId="0" borderId="13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 shrinkToFit="1"/>
    </xf>
    <xf numFmtId="4" fontId="3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 shrinkToFit="1"/>
    </xf>
    <xf numFmtId="4" fontId="11" fillId="0" borderId="3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4" fontId="6" fillId="0" borderId="3" xfId="0" applyNumberFormat="1" applyFont="1" applyBorder="1" applyAlignment="1">
      <alignment horizontal="right" vertical="center" wrapText="1"/>
    </xf>
    <xf numFmtId="4" fontId="25" fillId="0" borderId="3" xfId="0" applyNumberFormat="1" applyFont="1" applyBorder="1" applyAlignment="1">
      <alignment horizontal="right"/>
    </xf>
    <xf numFmtId="4" fontId="36" fillId="0" borderId="3" xfId="0" applyNumberFormat="1" applyFont="1" applyBorder="1"/>
    <xf numFmtId="0" fontId="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/>
    </xf>
    <xf numFmtId="4" fontId="1" fillId="0" borderId="3" xfId="0" applyNumberFormat="1" applyFont="1" applyBorder="1"/>
    <xf numFmtId="0" fontId="11" fillId="17" borderId="8" xfId="0" applyFont="1" applyFill="1" applyBorder="1"/>
    <xf numFmtId="0" fontId="9" fillId="2" borderId="1" xfId="0" applyFont="1" applyFill="1" applyBorder="1"/>
    <xf numFmtId="0" fontId="11" fillId="17" borderId="2" xfId="0" applyFont="1" applyFill="1" applyBorder="1"/>
    <xf numFmtId="4" fontId="1" fillId="17" borderId="7" xfId="0" applyNumberFormat="1" applyFont="1" applyFill="1" applyBorder="1"/>
    <xf numFmtId="0" fontId="11" fillId="17" borderId="12" xfId="0" applyFont="1" applyFill="1" applyBorder="1"/>
    <xf numFmtId="4" fontId="1" fillId="17" borderId="12" xfId="0" applyNumberFormat="1" applyFont="1" applyFill="1" applyBorder="1"/>
    <xf numFmtId="4" fontId="11" fillId="17" borderId="3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center" vertical="center" wrapText="1"/>
    </xf>
    <xf numFmtId="4" fontId="1" fillId="17" borderId="0" xfId="0" applyNumberFormat="1" applyFont="1" applyFill="1"/>
    <xf numFmtId="4" fontId="18" fillId="20" borderId="4" xfId="0" applyNumberFormat="1" applyFont="1" applyFill="1" applyBorder="1"/>
    <xf numFmtId="4" fontId="18" fillId="20" borderId="11" xfId="0" applyNumberFormat="1" applyFont="1" applyFill="1" applyBorder="1" applyAlignment="1">
      <alignment horizontal="right"/>
    </xf>
    <xf numFmtId="4" fontId="18" fillId="0" borderId="11" xfId="0" applyNumberFormat="1" applyFont="1" applyBorder="1" applyAlignment="1">
      <alignment horizontal="right"/>
    </xf>
    <xf numFmtId="4" fontId="24" fillId="0" borderId="3" xfId="0" applyNumberFormat="1" applyFont="1" applyBorder="1"/>
    <xf numFmtId="4" fontId="9" fillId="2" borderId="3" xfId="0" applyNumberFormat="1" applyFont="1" applyFill="1" applyBorder="1"/>
    <xf numFmtId="4" fontId="11" fillId="2" borderId="3" xfId="0" applyNumberFormat="1" applyFont="1" applyFill="1" applyBorder="1"/>
    <xf numFmtId="4" fontId="24" fillId="2" borderId="3" xfId="0" applyNumberFormat="1" applyFont="1" applyFill="1" applyBorder="1"/>
    <xf numFmtId="4" fontId="33" fillId="2" borderId="3" xfId="0" applyNumberFormat="1" applyFont="1" applyFill="1" applyBorder="1"/>
    <xf numFmtId="4" fontId="18" fillId="0" borderId="3" xfId="0" applyNumberFormat="1" applyFont="1" applyBorder="1"/>
    <xf numFmtId="4" fontId="9" fillId="16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/>
    <xf numFmtId="0" fontId="18" fillId="20" borderId="3" xfId="0" applyFont="1" applyFill="1" applyBorder="1" applyAlignment="1">
      <alignment horizontal="right"/>
    </xf>
    <xf numFmtId="4" fontId="19" fillId="0" borderId="3" xfId="0" applyNumberFormat="1" applyFont="1" applyBorder="1"/>
    <xf numFmtId="4" fontId="1" fillId="16" borderId="3" xfId="0" applyNumberFormat="1" applyFont="1" applyFill="1" applyBorder="1"/>
    <xf numFmtId="4" fontId="18" fillId="16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2" fontId="7" fillId="0" borderId="7" xfId="0" applyNumberFormat="1" applyFont="1" applyBorder="1" applyAlignment="1">
      <alignment horizontal="center" vertical="center" wrapText="1"/>
    </xf>
    <xf numFmtId="0" fontId="18" fillId="0" borderId="3" xfId="0" applyFont="1" applyBorder="1"/>
    <xf numFmtId="0" fontId="0" fillId="0" borderId="3" xfId="0" applyBorder="1"/>
    <xf numFmtId="0" fontId="11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/>
    </xf>
    <xf numFmtId="0" fontId="18" fillId="20" borderId="3" xfId="0" applyFont="1" applyFill="1" applyBorder="1" applyAlignment="1">
      <alignment horizontal="left"/>
    </xf>
    <xf numFmtId="0" fontId="18" fillId="20" borderId="3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1" fillId="0" borderId="3" xfId="0" applyFont="1" applyBorder="1"/>
    <xf numFmtId="4" fontId="33" fillId="0" borderId="3" xfId="0" applyNumberFormat="1" applyFont="1" applyBorder="1"/>
    <xf numFmtId="4" fontId="18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left" shrinkToFit="1"/>
    </xf>
    <xf numFmtId="0" fontId="9" fillId="5" borderId="3" xfId="0" applyFont="1" applyFill="1" applyBorder="1"/>
    <xf numFmtId="4" fontId="9" fillId="16" borderId="3" xfId="0" applyNumberFormat="1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left"/>
    </xf>
    <xf numFmtId="0" fontId="18" fillId="2" borderId="3" xfId="0" applyFont="1" applyFill="1" applyBorder="1"/>
    <xf numFmtId="0" fontId="18" fillId="0" borderId="3" xfId="0" applyFont="1" applyBorder="1" applyAlignment="1">
      <alignment horizontal="right"/>
    </xf>
    <xf numFmtId="0" fontId="9" fillId="16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0" fillId="2" borderId="3" xfId="0" applyFill="1" applyBorder="1"/>
    <xf numFmtId="0" fontId="9" fillId="16" borderId="3" xfId="0" applyFont="1" applyFill="1" applyBorder="1"/>
    <xf numFmtId="0" fontId="0" fillId="16" borderId="3" xfId="0" applyFill="1" applyBorder="1"/>
    <xf numFmtId="0" fontId="0" fillId="2" borderId="3" xfId="0" applyFill="1" applyBorder="1" applyAlignment="1">
      <alignment horizontal="left"/>
    </xf>
    <xf numFmtId="0" fontId="11" fillId="16" borderId="3" xfId="0" applyFont="1" applyFill="1" applyBorder="1" applyAlignment="1">
      <alignment horizontal="left" shrinkToFit="1"/>
    </xf>
    <xf numFmtId="0" fontId="0" fillId="5" borderId="0" xfId="0" applyFill="1"/>
    <xf numFmtId="0" fontId="40" fillId="0" borderId="0" xfId="0" applyFont="1"/>
    <xf numFmtId="4" fontId="6" fillId="9" borderId="3" xfId="0" applyNumberFormat="1" applyFont="1" applyFill="1" applyBorder="1" applyAlignment="1">
      <alignment horizontal="right"/>
    </xf>
    <xf numFmtId="0" fontId="28" fillId="0" borderId="0" xfId="0" applyFont="1" applyAlignment="1">
      <alignment vertical="center" wrapText="1"/>
    </xf>
    <xf numFmtId="4" fontId="27" fillId="0" borderId="3" xfId="0" applyNumberFormat="1" applyFont="1" applyBorder="1" applyAlignment="1">
      <alignment horizontal="right"/>
    </xf>
    <xf numFmtId="49" fontId="35" fillId="4" borderId="3" xfId="0" applyNumberFormat="1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right" shrinkToFit="1"/>
    </xf>
    <xf numFmtId="4" fontId="11" fillId="11" borderId="3" xfId="0" applyNumberFormat="1" applyFont="1" applyFill="1" applyBorder="1"/>
    <xf numFmtId="0" fontId="11" fillId="20" borderId="1" xfId="0" applyFont="1" applyFill="1" applyBorder="1" applyAlignment="1">
      <alignment horizontal="left"/>
    </xf>
    <xf numFmtId="0" fontId="11" fillId="20" borderId="2" xfId="0" applyFont="1" applyFill="1" applyBorder="1" applyAlignment="1">
      <alignment horizontal="left"/>
    </xf>
    <xf numFmtId="0" fontId="11" fillId="20" borderId="4" xfId="0" applyFont="1" applyFill="1" applyBorder="1" applyAlignment="1">
      <alignment horizontal="left"/>
    </xf>
    <xf numFmtId="4" fontId="11" fillId="20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1" fillId="11" borderId="3" xfId="0" applyFont="1" applyFill="1" applyBorder="1"/>
    <xf numFmtId="4" fontId="11" fillId="9" borderId="3" xfId="0" applyNumberFormat="1" applyFont="1" applyFill="1" applyBorder="1" applyAlignment="1">
      <alignment horizontal="right" shrinkToFit="1"/>
    </xf>
    <xf numFmtId="0" fontId="11" fillId="20" borderId="2" xfId="0" applyFont="1" applyFill="1" applyBorder="1" applyAlignment="1">
      <alignment horizontal="left" wrapText="1"/>
    </xf>
    <xf numFmtId="4" fontId="11" fillId="20" borderId="3" xfId="0" applyNumberFormat="1" applyFont="1" applyFill="1" applyBorder="1"/>
    <xf numFmtId="4" fontId="27" fillId="7" borderId="3" xfId="0" applyNumberFormat="1" applyFont="1" applyFill="1" applyBorder="1" applyAlignment="1">
      <alignment horizontal="right"/>
    </xf>
    <xf numFmtId="4" fontId="27" fillId="21" borderId="3" xfId="0" applyNumberFormat="1" applyFont="1" applyFill="1" applyBorder="1" applyAlignment="1">
      <alignment horizontal="right"/>
    </xf>
    <xf numFmtId="4" fontId="26" fillId="9" borderId="3" xfId="0" applyNumberFormat="1" applyFont="1" applyFill="1" applyBorder="1" applyAlignment="1">
      <alignment horizontal="right"/>
    </xf>
    <xf numFmtId="4" fontId="11" fillId="9" borderId="3" xfId="0" applyNumberFormat="1" applyFont="1" applyFill="1" applyBorder="1"/>
    <xf numFmtId="0" fontId="11" fillId="9" borderId="3" xfId="0" applyFont="1" applyFill="1" applyBorder="1"/>
    <xf numFmtId="0" fontId="11" fillId="20" borderId="6" xfId="0" applyFont="1" applyFill="1" applyBorder="1" applyAlignment="1">
      <alignment horizontal="left"/>
    </xf>
    <xf numFmtId="0" fontId="11" fillId="20" borderId="5" xfId="0" applyFont="1" applyFill="1" applyBorder="1" applyAlignment="1">
      <alignment horizontal="left"/>
    </xf>
    <xf numFmtId="0" fontId="11" fillId="20" borderId="11" xfId="0" applyFont="1" applyFill="1" applyBorder="1" applyAlignment="1">
      <alignment horizontal="left"/>
    </xf>
    <xf numFmtId="0" fontId="11" fillId="20" borderId="12" xfId="0" applyFont="1" applyFill="1" applyBorder="1" applyAlignment="1">
      <alignment horizontal="right"/>
    </xf>
    <xf numFmtId="4" fontId="27" fillId="21" borderId="7" xfId="0" applyNumberFormat="1" applyFont="1" applyFill="1" applyBorder="1" applyAlignment="1">
      <alignment horizontal="right"/>
    </xf>
    <xf numFmtId="4" fontId="27" fillId="7" borderId="7" xfId="0" applyNumberFormat="1" applyFont="1" applyFill="1" applyBorder="1" applyAlignment="1">
      <alignment horizontal="right"/>
    </xf>
    <xf numFmtId="0" fontId="11" fillId="9" borderId="6" xfId="0" applyFont="1" applyFill="1" applyBorder="1"/>
    <xf numFmtId="0" fontId="11" fillId="9" borderId="5" xfId="0" applyFont="1" applyFill="1" applyBorder="1"/>
    <xf numFmtId="4" fontId="11" fillId="9" borderId="1" xfId="0" applyNumberFormat="1" applyFont="1" applyFill="1" applyBorder="1"/>
    <xf numFmtId="4" fontId="9" fillId="7" borderId="7" xfId="0" applyNumberFormat="1" applyFont="1" applyFill="1" applyBorder="1" applyAlignment="1">
      <alignment horizontal="right" shrinkToFit="1"/>
    </xf>
    <xf numFmtId="4" fontId="11" fillId="7" borderId="7" xfId="0" applyNumberFormat="1" applyFont="1" applyFill="1" applyBorder="1" applyAlignment="1">
      <alignment horizontal="right" shrinkToFit="1"/>
    </xf>
    <xf numFmtId="0" fontId="11" fillId="10" borderId="3" xfId="0" applyFont="1" applyFill="1" applyBorder="1"/>
    <xf numFmtId="0" fontId="27" fillId="10" borderId="3" xfId="0" applyFont="1" applyFill="1" applyBorder="1"/>
    <xf numFmtId="4" fontId="27" fillId="10" borderId="3" xfId="0" applyNumberFormat="1" applyFont="1" applyFill="1" applyBorder="1" applyAlignment="1">
      <alignment horizontal="right"/>
    </xf>
    <xf numFmtId="4" fontId="11" fillId="9" borderId="4" xfId="0" applyNumberFormat="1" applyFont="1" applyFill="1" applyBorder="1" applyAlignment="1">
      <alignment horizontal="right"/>
    </xf>
    <xf numFmtId="4" fontId="11" fillId="11" borderId="3" xfId="0" applyNumberFormat="1" applyFont="1" applyFill="1" applyBorder="1" applyAlignment="1">
      <alignment horizontal="right" shrinkToFit="1"/>
    </xf>
    <xf numFmtId="0" fontId="11" fillId="22" borderId="3" xfId="0" applyFont="1" applyFill="1" applyBorder="1"/>
    <xf numFmtId="0" fontId="27" fillId="22" borderId="3" xfId="0" applyFont="1" applyFill="1" applyBorder="1"/>
    <xf numFmtId="4" fontId="26" fillId="22" borderId="3" xfId="0" applyNumberFormat="1" applyFont="1" applyFill="1" applyBorder="1"/>
    <xf numFmtId="4" fontId="11" fillId="22" borderId="3" xfId="0" applyNumberFormat="1" applyFont="1" applyFill="1" applyBorder="1" applyAlignment="1">
      <alignment horizontal="right" shrinkToFit="1"/>
    </xf>
    <xf numFmtId="4" fontId="11" fillId="22" borderId="3" xfId="0" applyNumberFormat="1" applyFont="1" applyFill="1" applyBorder="1" applyAlignment="1">
      <alignment horizontal="right"/>
    </xf>
    <xf numFmtId="0" fontId="27" fillId="22" borderId="1" xfId="0" applyFont="1" applyFill="1" applyBorder="1"/>
    <xf numFmtId="0" fontId="11" fillId="22" borderId="3" xfId="0" applyFont="1" applyFill="1" applyBorder="1" applyAlignment="1">
      <alignment horizontal="left"/>
    </xf>
    <xf numFmtId="4" fontId="26" fillId="22" borderId="3" xfId="0" applyNumberFormat="1" applyFont="1" applyFill="1" applyBorder="1" applyAlignment="1">
      <alignment horizontal="right"/>
    </xf>
    <xf numFmtId="0" fontId="11" fillId="22" borderId="6" xfId="0" applyFont="1" applyFill="1" applyBorder="1" applyAlignment="1">
      <alignment horizontal="left"/>
    </xf>
    <xf numFmtId="0" fontId="11" fillId="22" borderId="5" xfId="0" applyFont="1" applyFill="1" applyBorder="1" applyAlignment="1">
      <alignment horizontal="left"/>
    </xf>
    <xf numFmtId="4" fontId="26" fillId="22" borderId="7" xfId="0" applyNumberFormat="1" applyFont="1" applyFill="1" applyBorder="1" applyAlignment="1">
      <alignment horizontal="right"/>
    </xf>
    <xf numFmtId="4" fontId="11" fillId="22" borderId="1" xfId="0" applyNumberFormat="1" applyFont="1" applyFill="1" applyBorder="1"/>
    <xf numFmtId="4" fontId="11" fillId="22" borderId="3" xfId="0" applyNumberFormat="1" applyFont="1" applyFill="1" applyBorder="1"/>
    <xf numFmtId="0" fontId="11" fillId="22" borderId="5" xfId="0" applyFont="1" applyFill="1" applyBorder="1"/>
    <xf numFmtId="4" fontId="6" fillId="22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/>
    <xf numFmtId="0" fontId="11" fillId="7" borderId="12" xfId="0" applyFont="1" applyFill="1" applyBorder="1" applyAlignment="1">
      <alignment horizontal="right"/>
    </xf>
    <xf numFmtId="4" fontId="9" fillId="7" borderId="12" xfId="0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left"/>
    </xf>
    <xf numFmtId="4" fontId="9" fillId="0" borderId="12" xfId="0" applyNumberFormat="1" applyFont="1" applyBorder="1" applyAlignment="1">
      <alignment horizontal="right"/>
    </xf>
    <xf numFmtId="4" fontId="0" fillId="17" borderId="0" xfId="0" applyNumberFormat="1" applyFill="1"/>
    <xf numFmtId="0" fontId="0" fillId="9" borderId="0" xfId="0" applyFill="1"/>
    <xf numFmtId="16" fontId="0" fillId="23" borderId="0" xfId="0" applyNumberFormat="1" applyFill="1"/>
    <xf numFmtId="0" fontId="0" fillId="11" borderId="0" xfId="0" applyFill="1"/>
    <xf numFmtId="16" fontId="0" fillId="11" borderId="0" xfId="0" applyNumberFormat="1" applyFill="1"/>
    <xf numFmtId="0" fontId="0" fillId="3" borderId="0" xfId="0" applyFill="1"/>
    <xf numFmtId="0" fontId="0" fillId="24" borderId="0" xfId="0" applyFill="1"/>
    <xf numFmtId="0" fontId="0" fillId="25" borderId="0" xfId="0" applyFill="1"/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42" fillId="0" borderId="3" xfId="0" applyNumberFormat="1" applyFont="1" applyBorder="1" applyAlignment="1">
      <alignment horizontal="right"/>
    </xf>
    <xf numFmtId="4" fontId="42" fillId="0" borderId="3" xfId="0" applyNumberFormat="1" applyFont="1" applyBorder="1"/>
    <xf numFmtId="4" fontId="42" fillId="0" borderId="7" xfId="0" applyNumberFormat="1" applyFont="1" applyBorder="1" applyAlignment="1">
      <alignment horizontal="right"/>
    </xf>
    <xf numFmtId="4" fontId="43" fillId="0" borderId="7" xfId="0" applyNumberFormat="1" applyFont="1" applyBorder="1" applyAlignment="1">
      <alignment horizontal="right" shrinkToFit="1"/>
    </xf>
    <xf numFmtId="4" fontId="44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0" fontId="7" fillId="25" borderId="0" xfId="0" applyFont="1" applyFill="1"/>
    <xf numFmtId="0" fontId="8" fillId="25" borderId="0" xfId="0" applyFont="1" applyFill="1" applyAlignment="1">
      <alignment shrinkToFit="1"/>
    </xf>
    <xf numFmtId="4" fontId="8" fillId="25" borderId="0" xfId="0" applyNumberFormat="1" applyFont="1" applyFill="1"/>
    <xf numFmtId="4" fontId="0" fillId="25" borderId="0" xfId="0" applyNumberFormat="1" applyFill="1"/>
    <xf numFmtId="0" fontId="11" fillId="27" borderId="3" xfId="0" applyFont="1" applyFill="1" applyBorder="1"/>
    <xf numFmtId="0" fontId="11" fillId="27" borderId="3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0" fontId="11" fillId="9" borderId="1" xfId="0" applyFont="1" applyFill="1" applyBorder="1"/>
    <xf numFmtId="0" fontId="11" fillId="9" borderId="2" xfId="0" applyFont="1" applyFill="1" applyBorder="1"/>
    <xf numFmtId="0" fontId="11" fillId="9" borderId="11" xfId="0" applyFont="1" applyFill="1" applyBorder="1"/>
    <xf numFmtId="2" fontId="7" fillId="28" borderId="7" xfId="0" applyNumberFormat="1" applyFont="1" applyFill="1" applyBorder="1" applyAlignment="1">
      <alignment horizontal="center" vertical="center" wrapText="1"/>
    </xf>
    <xf numFmtId="4" fontId="24" fillId="16" borderId="3" xfId="0" applyNumberFormat="1" applyFont="1" applyFill="1" applyBorder="1"/>
    <xf numFmtId="4" fontId="33" fillId="16" borderId="3" xfId="0" applyNumberFormat="1" applyFont="1" applyFill="1" applyBorder="1"/>
    <xf numFmtId="4" fontId="0" fillId="9" borderId="3" xfId="0" applyNumberFormat="1" applyFill="1" applyBorder="1"/>
    <xf numFmtId="4" fontId="9" fillId="27" borderId="3" xfId="0" applyNumberFormat="1" applyFont="1" applyFill="1" applyBorder="1"/>
    <xf numFmtId="4" fontId="0" fillId="27" borderId="0" xfId="0" applyNumberFormat="1" applyFill="1"/>
    <xf numFmtId="4" fontId="0" fillId="5" borderId="0" xfId="0" applyNumberFormat="1" applyFill="1"/>
    <xf numFmtId="0" fontId="6" fillId="5" borderId="0" xfId="0" applyFont="1" applyFill="1" applyAlignment="1">
      <alignment horizontal="center" vertical="center" wrapText="1"/>
    </xf>
    <xf numFmtId="4" fontId="0" fillId="5" borderId="3" xfId="0" applyNumberFormat="1" applyFill="1" applyBorder="1"/>
    <xf numFmtId="4" fontId="1" fillId="5" borderId="0" xfId="0" applyNumberFormat="1" applyFont="1" applyFill="1"/>
    <xf numFmtId="4" fontId="11" fillId="5" borderId="3" xfId="0" applyNumberFormat="1" applyFont="1" applyFill="1" applyBorder="1" applyAlignment="1">
      <alignment horizontal="right"/>
    </xf>
    <xf numFmtId="4" fontId="0" fillId="16" borderId="0" xfId="0" applyNumberFormat="1" applyFill="1"/>
    <xf numFmtId="4" fontId="9" fillId="0" borderId="7" xfId="0" applyNumberFormat="1" applyFont="1" applyBorder="1" applyAlignment="1">
      <alignment horizontal="right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9" fillId="26" borderId="3" xfId="0" applyNumberFormat="1" applyFont="1" applyFill="1" applyBorder="1" applyAlignment="1">
      <alignment horizontal="right"/>
    </xf>
    <xf numFmtId="4" fontId="42" fillId="7" borderId="3" xfId="0" applyNumberFormat="1" applyFont="1" applyFill="1" applyBorder="1" applyAlignment="1">
      <alignment horizontal="right"/>
    </xf>
    <xf numFmtId="4" fontId="9" fillId="21" borderId="3" xfId="0" applyNumberFormat="1" applyFont="1" applyFill="1" applyBorder="1" applyAlignment="1">
      <alignment horizontal="right"/>
    </xf>
    <xf numFmtId="4" fontId="42" fillId="21" borderId="3" xfId="0" applyNumberFormat="1" applyFont="1" applyFill="1" applyBorder="1" applyAlignment="1">
      <alignment horizontal="right"/>
    </xf>
    <xf numFmtId="4" fontId="42" fillId="22" borderId="3" xfId="0" applyNumberFormat="1" applyFont="1" applyFill="1" applyBorder="1" applyAlignment="1">
      <alignment horizontal="right"/>
    </xf>
    <xf numFmtId="4" fontId="9" fillId="22" borderId="3" xfId="0" applyNumberFormat="1" applyFont="1" applyFill="1" applyBorder="1" applyAlignment="1">
      <alignment horizontal="right"/>
    </xf>
    <xf numFmtId="4" fontId="9" fillId="7" borderId="11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40" fillId="0" borderId="0" xfId="0" applyNumberFormat="1" applyFont="1"/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9" fillId="7" borderId="1" xfId="0" applyFont="1" applyFill="1" applyBorder="1" applyAlignment="1">
      <alignment horizontal="left" shrinkToFit="1"/>
    </xf>
    <xf numFmtId="0" fontId="9" fillId="7" borderId="2" xfId="0" applyFont="1" applyFill="1" applyBorder="1" applyAlignment="1">
      <alignment horizontal="left" shrinkToFit="1"/>
    </xf>
    <xf numFmtId="0" fontId="9" fillId="7" borderId="4" xfId="0" applyFont="1" applyFill="1" applyBorder="1" applyAlignment="1">
      <alignment horizontal="left" shrinkToFit="1"/>
    </xf>
    <xf numFmtId="0" fontId="9" fillId="7" borderId="1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 wrapText="1"/>
    </xf>
    <xf numFmtId="0" fontId="37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38" fillId="2" borderId="3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0" fontId="45" fillId="2" borderId="3" xfId="0" quotePrefix="1" applyFont="1" applyFill="1" applyBorder="1" applyAlignment="1">
      <alignment horizontal="left" vertical="center"/>
    </xf>
    <xf numFmtId="0" fontId="45" fillId="2" borderId="3" xfId="0" quotePrefix="1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" fontId="38" fillId="2" borderId="3" xfId="0" applyNumberFormat="1" applyFont="1" applyFill="1" applyBorder="1" applyAlignment="1">
      <alignment horizontal="right" wrapText="1"/>
    </xf>
    <xf numFmtId="49" fontId="45" fillId="0" borderId="3" xfId="0" quotePrefix="1" applyNumberFormat="1" applyFont="1" applyBorder="1" applyAlignment="1">
      <alignment horizontal="left" vertical="center"/>
    </xf>
    <xf numFmtId="0" fontId="45" fillId="0" borderId="3" xfId="0" quotePrefix="1" applyFont="1" applyBorder="1" applyAlignment="1">
      <alignment horizontal="left" vertical="center"/>
    </xf>
    <xf numFmtId="0" fontId="27" fillId="4" borderId="8" xfId="0" applyFont="1" applyFill="1" applyBorder="1"/>
    <xf numFmtId="0" fontId="27" fillId="4" borderId="9" xfId="0" applyFont="1" applyFill="1" applyBorder="1"/>
    <xf numFmtId="0" fontId="27" fillId="4" borderId="10" xfId="0" applyFont="1" applyFill="1" applyBorder="1"/>
    <xf numFmtId="0" fontId="27" fillId="4" borderId="6" xfId="0" applyFont="1" applyFill="1" applyBorder="1"/>
    <xf numFmtId="0" fontId="27" fillId="4" borderId="5" xfId="0" applyFont="1" applyFill="1" applyBorder="1"/>
    <xf numFmtId="0" fontId="27" fillId="4" borderId="11" xfId="0" applyFont="1" applyFill="1" applyBorder="1"/>
    <xf numFmtId="0" fontId="9" fillId="4" borderId="6" xfId="0" applyFont="1" applyFill="1" applyBorder="1"/>
    <xf numFmtId="0" fontId="9" fillId="4" borderId="5" xfId="0" applyFont="1" applyFill="1" applyBorder="1"/>
    <xf numFmtId="0" fontId="9" fillId="4" borderId="11" xfId="0" applyFont="1" applyFill="1" applyBorder="1"/>
    <xf numFmtId="0" fontId="46" fillId="0" borderId="0" xfId="0" applyFont="1"/>
    <xf numFmtId="0" fontId="46" fillId="0" borderId="3" xfId="0" applyFont="1" applyBorder="1" applyAlignment="1">
      <alignment horizontal="center"/>
    </xf>
    <xf numFmtId="0" fontId="46" fillId="0" borderId="1" xfId="0" applyFont="1" applyBorder="1"/>
    <xf numFmtId="0" fontId="46" fillId="0" borderId="2" xfId="0" applyFont="1" applyBorder="1"/>
    <xf numFmtId="0" fontId="46" fillId="0" borderId="4" xfId="0" applyFont="1" applyBorder="1"/>
    <xf numFmtId="0" fontId="36" fillId="0" borderId="12" xfId="0" applyFont="1" applyBorder="1" applyAlignment="1">
      <alignment horizontal="center"/>
    </xf>
    <xf numFmtId="0" fontId="36" fillId="0" borderId="6" xfId="0" applyFont="1" applyBorder="1"/>
    <xf numFmtId="0" fontId="36" fillId="0" borderId="5" xfId="0" applyFont="1" applyBorder="1"/>
    <xf numFmtId="0" fontId="36" fillId="0" borderId="11" xfId="0" applyFont="1" applyBorder="1"/>
    <xf numFmtId="0" fontId="0" fillId="2" borderId="0" xfId="0" applyFill="1"/>
    <xf numFmtId="4" fontId="0" fillId="2" borderId="0" xfId="0" applyNumberFormat="1" applyFill="1"/>
    <xf numFmtId="0" fontId="25" fillId="2" borderId="0" xfId="0" applyFont="1" applyFill="1" applyAlignment="1">
      <alignment horizontal="left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4" fontId="27" fillId="0" borderId="7" xfId="0" applyNumberFormat="1" applyFont="1" applyBorder="1" applyAlignment="1">
      <alignment horizontal="right"/>
    </xf>
    <xf numFmtId="4" fontId="27" fillId="0" borderId="12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 shrinkToFit="1"/>
    </xf>
    <xf numFmtId="4" fontId="9" fillId="0" borderId="12" xfId="0" applyNumberFormat="1" applyFont="1" applyBorder="1" applyAlignment="1">
      <alignment horizontal="right" shrinkToFit="1"/>
    </xf>
    <xf numFmtId="4" fontId="3" fillId="0" borderId="7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center"/>
    </xf>
    <xf numFmtId="4" fontId="9" fillId="0" borderId="12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 shrinkToFit="1"/>
    </xf>
    <xf numFmtId="4" fontId="9" fillId="0" borderId="12" xfId="0" applyNumberFormat="1" applyFont="1" applyBorder="1" applyAlignment="1">
      <alignment horizontal="center" shrinkToFit="1"/>
    </xf>
    <xf numFmtId="4" fontId="36" fillId="0" borderId="3" xfId="0" applyNumberFormat="1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4" fontId="46" fillId="0" borderId="3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left" wrapText="1" shrinkToFit="1"/>
    </xf>
    <xf numFmtId="0" fontId="9" fillId="7" borderId="2" xfId="0" applyFont="1" applyFill="1" applyBorder="1" applyAlignment="1">
      <alignment horizontal="left" wrapText="1" shrinkToFit="1"/>
    </xf>
    <xf numFmtId="0" fontId="9" fillId="7" borderId="4" xfId="0" applyFont="1" applyFill="1" applyBorder="1" applyAlignment="1">
      <alignment horizontal="left" wrapText="1" shrinkToFi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22" borderId="6" xfId="0" applyFont="1" applyFill="1" applyBorder="1" applyAlignment="1">
      <alignment horizontal="left" wrapText="1"/>
    </xf>
    <xf numFmtId="0" fontId="11" fillId="22" borderId="5" xfId="0" applyFont="1" applyFill="1" applyBorder="1" applyAlignment="1">
      <alignment horizontal="left" wrapText="1"/>
    </xf>
    <xf numFmtId="0" fontId="11" fillId="22" borderId="1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shrinkToFit="1"/>
    </xf>
    <xf numFmtId="0" fontId="9" fillId="7" borderId="2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1" fillId="22" borderId="3" xfId="0" applyFont="1" applyFill="1" applyBorder="1" applyAlignment="1">
      <alignment horizontal="left" wrapText="1" shrinkToFit="1"/>
    </xf>
    <xf numFmtId="0" fontId="9" fillId="7" borderId="4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/>
    </xf>
    <xf numFmtId="0" fontId="11" fillId="22" borderId="9" xfId="0" applyFont="1" applyFill="1" applyBorder="1" applyAlignment="1">
      <alignment horizontal="left"/>
    </xf>
    <xf numFmtId="0" fontId="11" fillId="22" borderId="3" xfId="0" applyFont="1" applyFill="1" applyBorder="1" applyAlignment="1">
      <alignment horizontal="left"/>
    </xf>
    <xf numFmtId="0" fontId="11" fillId="22" borderId="6" xfId="0" applyFont="1" applyFill="1" applyBorder="1" applyAlignment="1">
      <alignment horizontal="left"/>
    </xf>
    <xf numFmtId="0" fontId="11" fillId="22" borderId="5" xfId="0" applyFont="1" applyFill="1" applyBorder="1" applyAlignment="1">
      <alignment horizontal="left"/>
    </xf>
    <xf numFmtId="0" fontId="11" fillId="22" borderId="11" xfId="0" applyFont="1" applyFill="1" applyBorder="1" applyAlignment="1">
      <alignment horizontal="left"/>
    </xf>
    <xf numFmtId="4" fontId="11" fillId="22" borderId="7" xfId="0" applyNumberFormat="1" applyFont="1" applyFill="1" applyBorder="1" applyAlignment="1">
      <alignment horizontal="right"/>
    </xf>
    <xf numFmtId="0" fontId="11" fillId="22" borderId="12" xfId="0" applyFont="1" applyFill="1" applyBorder="1" applyAlignment="1">
      <alignment horizontal="right"/>
    </xf>
    <xf numFmtId="0" fontId="11" fillId="9" borderId="1" xfId="0" applyFont="1" applyFill="1" applyBorder="1" applyAlignment="1">
      <alignment horizontal="left" shrinkToFit="1"/>
    </xf>
    <xf numFmtId="0" fontId="11" fillId="9" borderId="2" xfId="0" applyFont="1" applyFill="1" applyBorder="1" applyAlignment="1">
      <alignment horizontal="left" shrinkToFit="1"/>
    </xf>
    <xf numFmtId="0" fontId="11" fillId="9" borderId="4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 shrinkToFit="1"/>
    </xf>
    <xf numFmtId="0" fontId="11" fillId="22" borderId="9" xfId="0" applyFont="1" applyFill="1" applyBorder="1" applyAlignment="1">
      <alignment horizontal="left" shrinkToFit="1"/>
    </xf>
    <xf numFmtId="0" fontId="11" fillId="22" borderId="1" xfId="0" applyFont="1" applyFill="1" applyBorder="1" applyAlignment="1">
      <alignment horizontal="left" wrapText="1" shrinkToFit="1"/>
    </xf>
    <xf numFmtId="0" fontId="11" fillId="22" borderId="2" xfId="0" applyFont="1" applyFill="1" applyBorder="1" applyAlignment="1">
      <alignment horizontal="left" wrapText="1" shrinkToFit="1"/>
    </xf>
    <xf numFmtId="0" fontId="11" fillId="22" borderId="4" xfId="0" applyFont="1" applyFill="1" applyBorder="1" applyAlignment="1">
      <alignment horizontal="left" wrapText="1" shrinkToFit="1"/>
    </xf>
    <xf numFmtId="0" fontId="11" fillId="22" borderId="1" xfId="0" applyFont="1" applyFill="1" applyBorder="1" applyAlignment="1">
      <alignment horizontal="left"/>
    </xf>
    <xf numFmtId="0" fontId="11" fillId="22" borderId="2" xfId="0" applyFont="1" applyFill="1" applyBorder="1" applyAlignment="1">
      <alignment horizontal="left"/>
    </xf>
    <xf numFmtId="4" fontId="11" fillId="11" borderId="7" xfId="0" applyNumberFormat="1" applyFont="1" applyFill="1" applyBorder="1" applyAlignment="1">
      <alignment horizontal="right"/>
    </xf>
    <xf numFmtId="0" fontId="11" fillId="11" borderId="1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1" fillId="22" borderId="10" xfId="0" applyFont="1" applyFill="1" applyBorder="1" applyAlignment="1">
      <alignment horizontal="left" shrinkToFit="1"/>
    </xf>
    <xf numFmtId="0" fontId="11" fillId="22" borderId="1" xfId="0" applyFont="1" applyFill="1" applyBorder="1" applyAlignment="1">
      <alignment horizontal="left" shrinkToFit="1"/>
    </xf>
    <xf numFmtId="0" fontId="11" fillId="22" borderId="2" xfId="0" applyFont="1" applyFill="1" applyBorder="1" applyAlignment="1">
      <alignment horizontal="left" shrinkToFit="1"/>
    </xf>
    <xf numFmtId="0" fontId="11" fillId="22" borderId="4" xfId="0" applyFont="1" applyFill="1" applyBorder="1" applyAlignment="1">
      <alignment horizontal="left" shrinkToFit="1"/>
    </xf>
    <xf numFmtId="4" fontId="11" fillId="22" borderId="3" xfId="0" applyNumberFormat="1" applyFont="1" applyFill="1" applyBorder="1"/>
    <xf numFmtId="0" fontId="11" fillId="22" borderId="3" xfId="0" applyFont="1" applyFill="1" applyBorder="1"/>
    <xf numFmtId="0" fontId="27" fillId="0" borderId="0" xfId="0" applyFont="1" applyAlignment="1">
      <alignment horizontal="center"/>
    </xf>
    <xf numFmtId="0" fontId="11" fillId="22" borderId="4" xfId="0" applyFont="1" applyFill="1" applyBorder="1" applyAlignment="1">
      <alignment horizontal="left"/>
    </xf>
    <xf numFmtId="4" fontId="26" fillId="22" borderId="7" xfId="0" applyNumberFormat="1" applyFont="1" applyFill="1" applyBorder="1" applyAlignment="1">
      <alignment horizontal="right"/>
    </xf>
    <xf numFmtId="4" fontId="26" fillId="22" borderId="14" xfId="0" applyNumberFormat="1" applyFont="1" applyFill="1" applyBorder="1" applyAlignment="1">
      <alignment horizontal="right"/>
    </xf>
    <xf numFmtId="4" fontId="26" fillId="22" borderId="12" xfId="0" applyNumberFormat="1" applyFont="1" applyFill="1" applyBorder="1" applyAlignment="1">
      <alignment horizontal="right"/>
    </xf>
    <xf numFmtId="4" fontId="11" fillId="9" borderId="3" xfId="0" applyNumberFormat="1" applyFont="1" applyFill="1" applyBorder="1" applyAlignment="1">
      <alignment horizontal="right" shrinkToFit="1"/>
    </xf>
    <xf numFmtId="0" fontId="11" fillId="9" borderId="3" xfId="0" applyFont="1" applyFill="1" applyBorder="1" applyAlignment="1">
      <alignment horizontal="right" shrinkToFit="1"/>
    </xf>
    <xf numFmtId="0" fontId="26" fillId="0" borderId="0" xfId="0" applyFont="1" applyAlignment="1">
      <alignment horizontal="center"/>
    </xf>
    <xf numFmtId="0" fontId="11" fillId="11" borderId="6" xfId="0" applyFont="1" applyFill="1" applyBorder="1" applyAlignment="1">
      <alignment horizontal="left"/>
    </xf>
    <xf numFmtId="0" fontId="11" fillId="11" borderId="5" xfId="0" applyFont="1" applyFill="1" applyBorder="1" applyAlignment="1">
      <alignment horizontal="left"/>
    </xf>
    <xf numFmtId="0" fontId="11" fillId="11" borderId="11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11" fillId="22" borderId="1" xfId="0" applyFont="1" applyFill="1" applyBorder="1" applyAlignment="1">
      <alignment horizontal="left" wrapText="1"/>
    </xf>
    <xf numFmtId="0" fontId="11" fillId="22" borderId="2" xfId="0" applyFont="1" applyFill="1" applyBorder="1" applyAlignment="1">
      <alignment horizontal="left" wrapText="1"/>
    </xf>
    <xf numFmtId="0" fontId="11" fillId="22" borderId="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shrinkToFit="1"/>
    </xf>
    <xf numFmtId="0" fontId="11" fillId="3" borderId="2" xfId="0" applyFont="1" applyFill="1" applyBorder="1" applyAlignment="1">
      <alignment horizontal="left" shrinkToFit="1"/>
    </xf>
    <xf numFmtId="0" fontId="6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shrinkToFit="1"/>
    </xf>
    <xf numFmtId="0" fontId="11" fillId="11" borderId="1" xfId="0" applyFont="1" applyFill="1" applyBorder="1" applyAlignment="1">
      <alignment horizontal="left"/>
    </xf>
    <xf numFmtId="0" fontId="11" fillId="11" borderId="2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9" fillId="7" borderId="1" xfId="0" applyFont="1" applyFill="1" applyBorder="1" applyAlignment="1">
      <alignment horizontal="center" shrinkToFit="1"/>
    </xf>
    <xf numFmtId="0" fontId="9" fillId="7" borderId="2" xfId="0" applyFont="1" applyFill="1" applyBorder="1" applyAlignment="1">
      <alignment horizontal="center" shrinkToFit="1"/>
    </xf>
    <xf numFmtId="0" fontId="9" fillId="7" borderId="4" xfId="0" applyFont="1" applyFill="1" applyBorder="1" applyAlignment="1">
      <alignment horizontal="center" shrinkToFit="1"/>
    </xf>
    <xf numFmtId="0" fontId="11" fillId="9" borderId="1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11" fillId="22" borderId="3" xfId="0" applyFont="1" applyFill="1" applyBorder="1" applyAlignment="1">
      <alignment horizontal="left" shrinkToFit="1"/>
    </xf>
    <xf numFmtId="0" fontId="11" fillId="11" borderId="1" xfId="0" applyFont="1" applyFill="1" applyBorder="1" applyAlignment="1">
      <alignment horizontal="left" shrinkToFit="1"/>
    </xf>
    <xf numFmtId="0" fontId="11" fillId="11" borderId="2" xfId="0" applyFont="1" applyFill="1" applyBorder="1" applyAlignment="1">
      <alignment horizontal="left" shrinkToFit="1"/>
    </xf>
    <xf numFmtId="0" fontId="11" fillId="11" borderId="4" xfId="0" applyFont="1" applyFill="1" applyBorder="1" applyAlignment="1">
      <alignment horizontal="left" shrinkToFit="1"/>
    </xf>
    <xf numFmtId="0" fontId="11" fillId="9" borderId="4" xfId="0" applyFont="1" applyFill="1" applyBorder="1" applyAlignment="1">
      <alignment horizontal="left"/>
    </xf>
    <xf numFmtId="0" fontId="11" fillId="22" borderId="10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0" fontId="11" fillId="20" borderId="1" xfId="0" applyFont="1" applyFill="1" applyBorder="1" applyAlignment="1">
      <alignment horizontal="left" shrinkToFit="1"/>
    </xf>
    <xf numFmtId="0" fontId="11" fillId="20" borderId="2" xfId="0" applyFont="1" applyFill="1" applyBorder="1" applyAlignment="1">
      <alignment horizontal="left" shrinkToFit="1"/>
    </xf>
    <xf numFmtId="0" fontId="11" fillId="20" borderId="4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 wrapText="1"/>
    </xf>
    <xf numFmtId="0" fontId="11" fillId="22" borderId="9" xfId="0" applyFont="1" applyFill="1" applyBorder="1" applyAlignment="1">
      <alignment horizontal="left" wrapText="1"/>
    </xf>
    <xf numFmtId="0" fontId="11" fillId="22" borderId="10" xfId="0" applyFont="1" applyFill="1" applyBorder="1" applyAlignment="1">
      <alignment horizontal="left" wrapText="1"/>
    </xf>
    <xf numFmtId="4" fontId="11" fillId="22" borderId="3" xfId="0" applyNumberFormat="1" applyFont="1" applyFill="1" applyBorder="1" applyAlignment="1">
      <alignment horizontal="right"/>
    </xf>
    <xf numFmtId="0" fontId="11" fillId="22" borderId="3" xfId="0" applyFont="1" applyFill="1" applyBorder="1" applyAlignment="1">
      <alignment horizontal="right"/>
    </xf>
    <xf numFmtId="0" fontId="11" fillId="9" borderId="8" xfId="0" applyFont="1" applyFill="1" applyBorder="1" applyAlignment="1">
      <alignment horizontal="left" shrinkToFit="1"/>
    </xf>
    <xf numFmtId="0" fontId="11" fillId="9" borderId="9" xfId="0" applyFont="1" applyFill="1" applyBorder="1" applyAlignment="1">
      <alignment horizontal="left" shrinkToFit="1"/>
    </xf>
    <xf numFmtId="0" fontId="11" fillId="22" borderId="8" xfId="0" applyFont="1" applyFill="1" applyBorder="1" applyAlignment="1">
      <alignment horizontal="left" vertical="center" wrapText="1" shrinkToFit="1"/>
    </xf>
    <xf numFmtId="0" fontId="11" fillId="22" borderId="9" xfId="0" applyFont="1" applyFill="1" applyBorder="1" applyAlignment="1">
      <alignment horizontal="left" vertical="center" wrapText="1" shrinkToFit="1"/>
    </xf>
    <xf numFmtId="0" fontId="11" fillId="22" borderId="10" xfId="0" applyFont="1" applyFill="1" applyBorder="1" applyAlignment="1">
      <alignment horizontal="left" vertical="center" wrapText="1" shrinkToFit="1"/>
    </xf>
    <xf numFmtId="0" fontId="11" fillId="22" borderId="13" xfId="0" applyFont="1" applyFill="1" applyBorder="1" applyAlignment="1">
      <alignment horizontal="left" vertical="center" wrapText="1" shrinkToFit="1"/>
    </xf>
    <xf numFmtId="0" fontId="11" fillId="22" borderId="0" xfId="0" applyFont="1" applyFill="1" applyAlignment="1">
      <alignment horizontal="left" vertical="center" wrapText="1" shrinkToFit="1"/>
    </xf>
    <xf numFmtId="0" fontId="11" fillId="22" borderId="15" xfId="0" applyFont="1" applyFill="1" applyBorder="1" applyAlignment="1">
      <alignment horizontal="left" vertical="center" wrapText="1" shrinkToFit="1"/>
    </xf>
    <xf numFmtId="0" fontId="11" fillId="22" borderId="6" xfId="0" applyFont="1" applyFill="1" applyBorder="1" applyAlignment="1">
      <alignment horizontal="left" vertical="center" wrapText="1" shrinkToFit="1"/>
    </xf>
    <xf numFmtId="0" fontId="11" fillId="22" borderId="5" xfId="0" applyFont="1" applyFill="1" applyBorder="1" applyAlignment="1">
      <alignment horizontal="left" vertical="center" wrapText="1" shrinkToFit="1"/>
    </xf>
    <xf numFmtId="0" fontId="11" fillId="22" borderId="11" xfId="0" applyFont="1" applyFill="1" applyBorder="1" applyAlignment="1">
      <alignment horizontal="left" vertical="center" wrapText="1" shrinkToFit="1"/>
    </xf>
    <xf numFmtId="4" fontId="26" fillId="22" borderId="3" xfId="0" applyNumberFormat="1" applyFont="1" applyFill="1" applyBorder="1" applyAlignment="1">
      <alignment horizontal="right"/>
    </xf>
    <xf numFmtId="0" fontId="26" fillId="22" borderId="3" xfId="0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4" fontId="11" fillId="11" borderId="3" xfId="0" applyNumberFormat="1" applyFont="1" applyFill="1" applyBorder="1" applyAlignment="1">
      <alignment horizontal="right"/>
    </xf>
    <xf numFmtId="0" fontId="11" fillId="11" borderId="3" xfId="0" applyFont="1" applyFill="1" applyBorder="1" applyAlignment="1">
      <alignment horizontal="right"/>
    </xf>
    <xf numFmtId="4" fontId="1" fillId="17" borderId="3" xfId="0" applyNumberFormat="1" applyFont="1" applyFill="1" applyBorder="1" applyAlignment="1">
      <alignment horizontal="right"/>
    </xf>
    <xf numFmtId="0" fontId="11" fillId="8" borderId="3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17" borderId="1" xfId="0" applyFont="1" applyFill="1" applyBorder="1" applyAlignment="1">
      <alignment horizontal="left"/>
    </xf>
    <xf numFmtId="0" fontId="11" fillId="17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1" fillId="8" borderId="3" xfId="0" applyFont="1" applyFill="1" applyBorder="1" applyAlignment="1">
      <alignment shrinkToFit="1"/>
    </xf>
    <xf numFmtId="0" fontId="11" fillId="8" borderId="1" xfId="0" applyFont="1" applyFill="1" applyBorder="1" applyAlignment="1">
      <alignment shrinkToFit="1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1" fillId="17" borderId="8" xfId="0" applyFont="1" applyFill="1" applyBorder="1" applyAlignment="1">
      <alignment horizontal="left" shrinkToFit="1"/>
    </xf>
    <xf numFmtId="0" fontId="11" fillId="17" borderId="9" xfId="0" applyFont="1" applyFill="1" applyBorder="1" applyAlignment="1">
      <alignment horizontal="left" shrinkToFit="1"/>
    </xf>
    <xf numFmtId="0" fontId="11" fillId="17" borderId="10" xfId="0" applyFont="1" applyFill="1" applyBorder="1" applyAlignment="1">
      <alignment horizontal="left" shrinkToFit="1"/>
    </xf>
    <xf numFmtId="0" fontId="11" fillId="17" borderId="6" xfId="0" applyFont="1" applyFill="1" applyBorder="1" applyAlignment="1">
      <alignment horizontal="left" shrinkToFit="1"/>
    </xf>
    <xf numFmtId="0" fontId="11" fillId="17" borderId="5" xfId="0" applyFont="1" applyFill="1" applyBorder="1" applyAlignment="1">
      <alignment horizontal="left" shrinkToFit="1"/>
    </xf>
    <xf numFmtId="0" fontId="11" fillId="17" borderId="11" xfId="0" applyFont="1" applyFill="1" applyBorder="1" applyAlignment="1">
      <alignment horizontal="left" shrinkToFit="1"/>
    </xf>
    <xf numFmtId="4" fontId="1" fillId="5" borderId="3" xfId="0" applyNumberFormat="1" applyFont="1" applyFill="1" applyBorder="1" applyAlignment="1">
      <alignment horizontal="right"/>
    </xf>
    <xf numFmtId="0" fontId="11" fillId="9" borderId="10" xfId="0" applyFont="1" applyFill="1" applyBorder="1" applyAlignment="1">
      <alignment horizontal="left" shrinkToFit="1"/>
    </xf>
    <xf numFmtId="0" fontId="11" fillId="15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 shrinkToFit="1"/>
    </xf>
    <xf numFmtId="0" fontId="11" fillId="0" borderId="3" xfId="0" applyFont="1" applyBorder="1" applyAlignment="1">
      <alignment horizontal="left"/>
    </xf>
    <xf numFmtId="0" fontId="7" fillId="15" borderId="3" xfId="0" applyFont="1" applyFill="1" applyBorder="1" applyAlignment="1">
      <alignment horizontal="left" shrinkToFit="1"/>
    </xf>
    <xf numFmtId="0" fontId="11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shrinkToFit="1"/>
    </xf>
    <xf numFmtId="0" fontId="11" fillId="15" borderId="3" xfId="0" applyFont="1" applyFill="1" applyBorder="1" applyAlignment="1">
      <alignment horizontal="left" shrinkToFit="1"/>
    </xf>
    <xf numFmtId="0" fontId="18" fillId="14" borderId="3" xfId="0" applyFont="1" applyFill="1" applyBorder="1" applyAlignment="1">
      <alignment horizontal="left"/>
    </xf>
    <xf numFmtId="0" fontId="11" fillId="16" borderId="3" xfId="0" applyFont="1" applyFill="1" applyBorder="1" applyAlignment="1">
      <alignment horizontal="left"/>
    </xf>
    <xf numFmtId="0" fontId="18" fillId="15" borderId="3" xfId="0" applyFont="1" applyFill="1" applyBorder="1" applyAlignment="1">
      <alignment horizontal="left" shrinkToFit="1"/>
    </xf>
    <xf numFmtId="0" fontId="18" fillId="16" borderId="3" xfId="0" applyFont="1" applyFill="1" applyBorder="1" applyAlignment="1">
      <alignment horizontal="left" shrinkToFit="1"/>
    </xf>
    <xf numFmtId="0" fontId="11" fillId="16" borderId="3" xfId="0" applyFont="1" applyFill="1" applyBorder="1" applyAlignment="1">
      <alignment horizontal="left" shrinkToFit="1"/>
    </xf>
    <xf numFmtId="0" fontId="9" fillId="0" borderId="3" xfId="0" applyFont="1" applyBorder="1" applyAlignment="1">
      <alignment horizontal="left" shrinkToFit="1"/>
    </xf>
    <xf numFmtId="0" fontId="18" fillId="14" borderId="3" xfId="0" applyFont="1" applyFill="1" applyBorder="1" applyAlignment="1">
      <alignment shrinkToFit="1"/>
    </xf>
    <xf numFmtId="0" fontId="11" fillId="15" borderId="3" xfId="0" applyFont="1" applyFill="1" applyBorder="1" applyAlignment="1">
      <alignment horizontal="left" wrapText="1"/>
    </xf>
    <xf numFmtId="0" fontId="11" fillId="15" borderId="3" xfId="0" applyFont="1" applyFill="1" applyBorder="1" applyAlignment="1">
      <alignment shrinkToFit="1"/>
    </xf>
    <xf numFmtId="0" fontId="11" fillId="1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0" borderId="0" xfId="0" applyNumberFormat="1" applyFont="1" applyAlignment="1">
      <alignment horizontal="right"/>
    </xf>
    <xf numFmtId="0" fontId="9" fillId="7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shrinkToFit="1"/>
    </xf>
    <xf numFmtId="0" fontId="0" fillId="0" borderId="3" xfId="0" applyBorder="1" applyAlignment="1">
      <alignment shrinkToFit="1"/>
    </xf>
    <xf numFmtId="0" fontId="11" fillId="16" borderId="3" xfId="0" applyFont="1" applyFill="1" applyBorder="1" applyAlignment="1">
      <alignment horizontal="left" wrapText="1"/>
    </xf>
    <xf numFmtId="0" fontId="11" fillId="18" borderId="3" xfId="0" applyFont="1" applyFill="1" applyBorder="1" applyAlignment="1">
      <alignment horizontal="left"/>
    </xf>
    <xf numFmtId="0" fontId="11" fillId="19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2">
    <cellStyle name="Normalno" xfId="0" builtinId="0"/>
    <cellStyle name="Normalno 4" xfId="1" xr:uid="{03C12450-20C9-43C8-BA9C-D1D3CA45460F}"/>
  </cellStyles>
  <dxfs count="0"/>
  <tableStyles count="0" defaultTableStyle="TableStyleMedium2" defaultPivotStyle="PivotStyleLight16"/>
  <colors>
    <mruColors>
      <color rgb="FFFFFF00"/>
      <color rgb="FFB2B2B2"/>
      <color rgb="FF969696"/>
      <color rgb="FFCC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OP&#262;INA\PRORA&#268;UN\2024\1.%20izmjene\Prijedlog%201.%20izmjene.xlsx" TargetMode="External"/><Relationship Id="rId1" Type="http://schemas.openxmlformats.org/officeDocument/2006/relationships/externalLinkPath" Target="/Users/Korisnik/Desktop/OP&#262;INA/PRORA&#268;UN/2024/1.%20izmjene/Prijedlog%201.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Prenesena sredstva "/>
      <sheetName val="POSEBNI DIO"/>
      <sheetName val="Prihodi radni primjer"/>
      <sheetName val="List1"/>
      <sheetName val="Rashodi radni primj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Normal="100" workbookViewId="0">
      <selection activeCell="J6" sqref="J6"/>
    </sheetView>
  </sheetViews>
  <sheetFormatPr defaultRowHeight="15" x14ac:dyDescent="0.25"/>
  <cols>
    <col min="5" max="5" width="22.140625" customWidth="1"/>
    <col min="6" max="10" width="25.28515625" customWidth="1"/>
  </cols>
  <sheetData>
    <row r="1" spans="1:11" x14ac:dyDescent="0.25">
      <c r="I1" s="30" t="s">
        <v>934</v>
      </c>
    </row>
    <row r="3" spans="1:11" s="422" customFormat="1" ht="30.75" customHeight="1" x14ac:dyDescent="0.25">
      <c r="A3" s="424" t="s">
        <v>931</v>
      </c>
      <c r="B3" s="424"/>
      <c r="C3" s="424"/>
      <c r="D3" s="424"/>
      <c r="E3" s="424"/>
      <c r="F3" s="424"/>
      <c r="G3" s="424"/>
      <c r="H3" s="424"/>
      <c r="I3" s="424"/>
      <c r="J3" s="424"/>
    </row>
    <row r="5" spans="1:11" ht="42" customHeight="1" x14ac:dyDescent="0.25">
      <c r="A5" s="429" t="s">
        <v>725</v>
      </c>
      <c r="B5" s="429"/>
      <c r="C5" s="429"/>
      <c r="D5" s="429"/>
      <c r="E5" s="429"/>
      <c r="F5" s="429"/>
      <c r="G5" s="429"/>
      <c r="H5" s="429"/>
      <c r="I5" s="429"/>
      <c r="J5" s="429"/>
    </row>
    <row r="6" spans="1:1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1" ht="15.75" x14ac:dyDescent="0.25">
      <c r="A7" s="429" t="s">
        <v>29</v>
      </c>
      <c r="B7" s="429"/>
      <c r="C7" s="429"/>
      <c r="D7" s="429"/>
      <c r="E7" s="429"/>
      <c r="F7" s="429"/>
      <c r="G7" s="429"/>
      <c r="H7" s="429"/>
      <c r="I7" s="430"/>
      <c r="J7" s="430"/>
    </row>
    <row r="8" spans="1:11" ht="15.75" x14ac:dyDescent="0.25">
      <c r="A8" s="29"/>
      <c r="B8" s="29"/>
      <c r="C8" s="29"/>
      <c r="D8" s="29"/>
      <c r="E8" s="29"/>
      <c r="F8" s="29"/>
      <c r="G8" s="29"/>
      <c r="H8" s="29"/>
      <c r="I8" s="155"/>
      <c r="J8" s="155"/>
    </row>
    <row r="9" spans="1:11" x14ac:dyDescent="0.25">
      <c r="A9" s="435" t="s">
        <v>482</v>
      </c>
      <c r="B9" s="435"/>
      <c r="C9" s="435"/>
      <c r="D9" s="435"/>
      <c r="E9" s="435"/>
      <c r="F9" s="435"/>
      <c r="G9" s="435"/>
      <c r="H9" s="435"/>
      <c r="I9" s="435"/>
      <c r="J9" s="435"/>
    </row>
    <row r="10" spans="1:11" ht="18" x14ac:dyDescent="0.25">
      <c r="A10" s="5"/>
      <c r="B10" s="5"/>
      <c r="C10" s="5"/>
      <c r="D10" s="5"/>
      <c r="E10" s="5"/>
      <c r="F10" s="5"/>
      <c r="G10" s="5"/>
      <c r="H10" s="5"/>
      <c r="I10" s="6"/>
      <c r="J10" s="6"/>
    </row>
    <row r="11" spans="1:11" s="112" customFormat="1" ht="14.25" x14ac:dyDescent="0.2">
      <c r="A11" s="436" t="s">
        <v>726</v>
      </c>
      <c r="B11" s="436"/>
      <c r="C11" s="436"/>
      <c r="D11" s="436"/>
      <c r="E11" s="436"/>
      <c r="F11" s="436"/>
      <c r="G11" s="436"/>
      <c r="H11" s="436"/>
      <c r="I11" s="436"/>
      <c r="J11" s="436"/>
    </row>
    <row r="12" spans="1:11" ht="18" x14ac:dyDescent="0.25">
      <c r="A12" s="5"/>
      <c r="B12" s="5"/>
      <c r="C12" s="5"/>
      <c r="D12" s="5"/>
      <c r="E12" s="5"/>
      <c r="F12" s="5"/>
      <c r="G12" s="5"/>
      <c r="H12" s="5"/>
      <c r="I12" s="270"/>
      <c r="J12" s="270"/>
      <c r="K12" s="268"/>
    </row>
    <row r="13" spans="1:11" ht="18" customHeight="1" x14ac:dyDescent="0.25">
      <c r="A13" s="429" t="s">
        <v>38</v>
      </c>
      <c r="B13" s="443"/>
      <c r="C13" s="443"/>
      <c r="D13" s="443"/>
      <c r="E13" s="443"/>
      <c r="F13" s="443"/>
      <c r="G13" s="443"/>
      <c r="H13" s="443"/>
      <c r="I13" s="443"/>
      <c r="J13" s="443"/>
    </row>
    <row r="14" spans="1:11" ht="18" x14ac:dyDescent="0.25">
      <c r="A14" s="1"/>
      <c r="B14" s="2"/>
      <c r="C14" s="2"/>
      <c r="D14" s="2"/>
      <c r="E14" s="7"/>
      <c r="F14" s="8"/>
      <c r="G14" s="8"/>
      <c r="H14" s="8"/>
      <c r="I14" s="8"/>
      <c r="J14" s="25" t="s">
        <v>318</v>
      </c>
    </row>
    <row r="15" spans="1:11" ht="25.5" x14ac:dyDescent="0.25">
      <c r="A15" s="21"/>
      <c r="B15" s="22"/>
      <c r="C15" s="22"/>
      <c r="D15" s="23"/>
      <c r="E15" s="24"/>
      <c r="F15" s="4" t="s">
        <v>727</v>
      </c>
      <c r="G15" s="157" t="s">
        <v>732</v>
      </c>
      <c r="H15" s="157" t="s">
        <v>730</v>
      </c>
      <c r="I15" s="157" t="s">
        <v>563</v>
      </c>
      <c r="J15" s="157" t="s">
        <v>731</v>
      </c>
    </row>
    <row r="16" spans="1:11" x14ac:dyDescent="0.25">
      <c r="A16" s="431" t="s">
        <v>0</v>
      </c>
      <c r="B16" s="428"/>
      <c r="C16" s="428"/>
      <c r="D16" s="428"/>
      <c r="E16" s="432"/>
      <c r="F16" s="31">
        <f t="shared" ref="F16:J16" si="0">F17+F18</f>
        <v>1287848.2</v>
      </c>
      <c r="G16" s="31">
        <f t="shared" ref="G16" si="1">G17+G18</f>
        <v>2044186</v>
      </c>
      <c r="H16" s="31">
        <f>H17+H18</f>
        <v>2311361.2000000002</v>
      </c>
      <c r="I16" s="31">
        <f t="shared" si="0"/>
        <v>2473090</v>
      </c>
      <c r="J16" s="31">
        <f t="shared" si="0"/>
        <v>2538340</v>
      </c>
      <c r="K16" s="32"/>
    </row>
    <row r="17" spans="1:11" x14ac:dyDescent="0.25">
      <c r="A17" s="433" t="s">
        <v>1</v>
      </c>
      <c r="B17" s="434"/>
      <c r="C17" s="434"/>
      <c r="D17" s="434"/>
      <c r="E17" s="426"/>
      <c r="F17" s="54">
        <v>1287337.93</v>
      </c>
      <c r="G17" s="54">
        <v>2043686</v>
      </c>
      <c r="H17" s="54">
        <v>2280161.2000000002</v>
      </c>
      <c r="I17" s="54">
        <v>2451890</v>
      </c>
      <c r="J17" s="54">
        <v>2537140</v>
      </c>
      <c r="K17" s="32"/>
    </row>
    <row r="18" spans="1:11" x14ac:dyDescent="0.25">
      <c r="A18" s="425" t="s">
        <v>2</v>
      </c>
      <c r="B18" s="426"/>
      <c r="C18" s="426"/>
      <c r="D18" s="426"/>
      <c r="E18" s="426"/>
      <c r="F18" s="54">
        <v>510.27</v>
      </c>
      <c r="G18" s="54">
        <v>500</v>
      </c>
      <c r="H18" s="54">
        <v>31200</v>
      </c>
      <c r="I18" s="54">
        <v>21200</v>
      </c>
      <c r="J18" s="54">
        <v>1200</v>
      </c>
      <c r="K18" s="32"/>
    </row>
    <row r="19" spans="1:11" x14ac:dyDescent="0.25">
      <c r="A19" s="26" t="s">
        <v>3</v>
      </c>
      <c r="B19" s="27"/>
      <c r="C19" s="27"/>
      <c r="D19" s="27"/>
      <c r="E19" s="27"/>
      <c r="F19" s="31">
        <f t="shared" ref="F19:J19" si="2">F20+F21</f>
        <v>1496306.98</v>
      </c>
      <c r="G19" s="31">
        <f t="shared" ref="G19" si="3">G20+G21</f>
        <v>2244186</v>
      </c>
      <c r="H19" s="31">
        <f t="shared" si="2"/>
        <v>2451361.2000000002</v>
      </c>
      <c r="I19" s="31">
        <f t="shared" si="2"/>
        <v>2473090</v>
      </c>
      <c r="J19" s="31">
        <f t="shared" si="2"/>
        <v>2538340</v>
      </c>
      <c r="K19" s="32"/>
    </row>
    <row r="20" spans="1:11" x14ac:dyDescent="0.25">
      <c r="A20" s="442" t="s">
        <v>4</v>
      </c>
      <c r="B20" s="434"/>
      <c r="C20" s="434"/>
      <c r="D20" s="434"/>
      <c r="E20" s="434"/>
      <c r="F20" s="54">
        <v>1032122.41</v>
      </c>
      <c r="G20" s="54">
        <v>1249436</v>
      </c>
      <c r="H20" s="54">
        <f>1320371.2</f>
        <v>1320371.2</v>
      </c>
      <c r="I20" s="54">
        <v>1611090</v>
      </c>
      <c r="J20" s="115">
        <v>1607340</v>
      </c>
      <c r="K20" s="32"/>
    </row>
    <row r="21" spans="1:11" x14ac:dyDescent="0.25">
      <c r="A21" s="425" t="s">
        <v>5</v>
      </c>
      <c r="B21" s="426"/>
      <c r="C21" s="426"/>
      <c r="D21" s="426"/>
      <c r="E21" s="426"/>
      <c r="F21" s="54">
        <v>464184.57</v>
      </c>
      <c r="G21" s="54">
        <v>994750</v>
      </c>
      <c r="H21" s="54">
        <v>1130990</v>
      </c>
      <c r="I21" s="54">
        <v>862000</v>
      </c>
      <c r="J21" s="115">
        <v>931000</v>
      </c>
      <c r="K21" s="32"/>
    </row>
    <row r="22" spans="1:11" x14ac:dyDescent="0.25">
      <c r="A22" s="427" t="s">
        <v>6</v>
      </c>
      <c r="B22" s="428"/>
      <c r="C22" s="428"/>
      <c r="D22" s="428"/>
      <c r="E22" s="428"/>
      <c r="F22" s="31">
        <f>F16-F19</f>
        <v>-208458.78000000003</v>
      </c>
      <c r="G22" s="31">
        <f t="shared" ref="G22" si="4">G16-G19</f>
        <v>-200000</v>
      </c>
      <c r="H22" s="31">
        <f>H16-H19</f>
        <v>-140000</v>
      </c>
      <c r="I22" s="31">
        <f t="shared" ref="I22:J22" si="5">I16-I19</f>
        <v>0</v>
      </c>
      <c r="J22" s="31">
        <f t="shared" si="5"/>
        <v>0</v>
      </c>
      <c r="K22" s="32"/>
    </row>
    <row r="23" spans="1:11" ht="18" x14ac:dyDescent="0.25">
      <c r="A23" s="5"/>
      <c r="B23" s="9"/>
      <c r="C23" s="9"/>
      <c r="D23" s="9"/>
      <c r="E23" s="9"/>
      <c r="F23" s="9"/>
      <c r="G23" s="9"/>
      <c r="H23" s="117"/>
      <c r="I23" s="3"/>
      <c r="J23" s="3"/>
    </row>
    <row r="24" spans="1:11" ht="18" customHeight="1" x14ac:dyDescent="0.25">
      <c r="A24" s="429" t="s">
        <v>37</v>
      </c>
      <c r="B24" s="443"/>
      <c r="C24" s="443"/>
      <c r="D24" s="443"/>
      <c r="E24" s="443"/>
      <c r="F24" s="443"/>
      <c r="G24" s="443"/>
      <c r="H24" s="443"/>
      <c r="I24" s="443"/>
      <c r="J24" s="443"/>
    </row>
    <row r="25" spans="1:11" ht="18" x14ac:dyDescent="0.25">
      <c r="A25" s="5"/>
      <c r="B25" s="9"/>
      <c r="C25" s="9"/>
      <c r="D25" s="9"/>
      <c r="E25" s="9"/>
      <c r="F25" s="9"/>
      <c r="G25" s="9"/>
      <c r="H25" s="3"/>
      <c r="I25" s="3"/>
      <c r="J25" s="3"/>
    </row>
    <row r="26" spans="1:11" ht="25.5" x14ac:dyDescent="0.25">
      <c r="A26" s="21"/>
      <c r="B26" s="22"/>
      <c r="C26" s="22"/>
      <c r="D26" s="23"/>
      <c r="E26" s="24"/>
      <c r="F26" s="4" t="s">
        <v>727</v>
      </c>
      <c r="G26" s="4" t="s">
        <v>732</v>
      </c>
      <c r="H26" s="372" t="s">
        <v>730</v>
      </c>
      <c r="I26" s="372" t="s">
        <v>563</v>
      </c>
      <c r="J26" s="372" t="s">
        <v>731</v>
      </c>
    </row>
    <row r="27" spans="1:11" x14ac:dyDescent="0.25">
      <c r="A27" s="425" t="s">
        <v>320</v>
      </c>
      <c r="B27" s="426"/>
      <c r="C27" s="426"/>
      <c r="D27" s="426"/>
      <c r="E27" s="426"/>
      <c r="F27" s="20"/>
      <c r="G27" s="20"/>
      <c r="H27" s="20"/>
      <c r="I27" s="20"/>
      <c r="J27" s="131"/>
    </row>
    <row r="28" spans="1:11" x14ac:dyDescent="0.25">
      <c r="A28" s="425" t="s">
        <v>321</v>
      </c>
      <c r="B28" s="426"/>
      <c r="C28" s="426"/>
      <c r="D28" s="426"/>
      <c r="E28" s="426"/>
      <c r="F28" s="20"/>
      <c r="G28" s="20"/>
      <c r="H28" s="20"/>
      <c r="I28" s="20"/>
      <c r="J28" s="131"/>
    </row>
    <row r="29" spans="1:11" x14ac:dyDescent="0.25">
      <c r="A29" s="427" t="s">
        <v>8</v>
      </c>
      <c r="B29" s="428"/>
      <c r="C29" s="428"/>
      <c r="D29" s="428"/>
      <c r="E29" s="428"/>
      <c r="F29" s="31">
        <f>F27-F28</f>
        <v>0</v>
      </c>
      <c r="G29" s="31">
        <f t="shared" ref="G29:J29" si="6">G27-G28</f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</row>
    <row r="30" spans="1:11" x14ac:dyDescent="0.25">
      <c r="A30" s="427" t="s">
        <v>9</v>
      </c>
      <c r="B30" s="428"/>
      <c r="C30" s="428"/>
      <c r="D30" s="428"/>
      <c r="E30" s="428"/>
      <c r="F30" s="31">
        <f>F22+F29</f>
        <v>-208458.78000000003</v>
      </c>
      <c r="G30" s="31">
        <f t="shared" ref="G30:J30" si="7">G22+G29</f>
        <v>-200000</v>
      </c>
      <c r="H30" s="31">
        <f>H22+H29</f>
        <v>-140000</v>
      </c>
      <c r="I30" s="31">
        <f t="shared" si="7"/>
        <v>0</v>
      </c>
      <c r="J30" s="31">
        <f t="shared" si="7"/>
        <v>0</v>
      </c>
    </row>
    <row r="31" spans="1:11" ht="18" x14ac:dyDescent="0.25">
      <c r="A31" s="18"/>
      <c r="B31" s="9"/>
      <c r="C31" s="9"/>
      <c r="D31" s="9"/>
      <c r="E31" s="9"/>
      <c r="F31" s="9"/>
      <c r="G31" s="9"/>
      <c r="H31" s="3"/>
      <c r="I31" s="3"/>
      <c r="J31" s="3"/>
    </row>
    <row r="32" spans="1:11" ht="18" customHeight="1" x14ac:dyDescent="0.25">
      <c r="A32" s="429" t="s">
        <v>319</v>
      </c>
      <c r="B32" s="443"/>
      <c r="C32" s="443"/>
      <c r="D32" s="443"/>
      <c r="E32" s="443"/>
      <c r="F32" s="443"/>
      <c r="G32" s="443"/>
      <c r="H32" s="443"/>
      <c r="I32" s="443"/>
      <c r="J32" s="443"/>
    </row>
    <row r="33" spans="1:10" ht="18" customHeight="1" x14ac:dyDescent="0.25">
      <c r="A33" s="29"/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10" ht="25.5" x14ac:dyDescent="0.25">
      <c r="A34" s="21"/>
      <c r="B34" s="22"/>
      <c r="C34" s="22"/>
      <c r="D34" s="23"/>
      <c r="E34" s="24"/>
      <c r="F34" s="4" t="s">
        <v>727</v>
      </c>
      <c r="G34" s="4" t="s">
        <v>732</v>
      </c>
      <c r="H34" s="372" t="s">
        <v>730</v>
      </c>
      <c r="I34" s="372" t="s">
        <v>563</v>
      </c>
      <c r="J34" s="372" t="s">
        <v>731</v>
      </c>
    </row>
    <row r="35" spans="1:10" ht="15" customHeight="1" x14ac:dyDescent="0.25">
      <c r="A35" s="437" t="s">
        <v>322</v>
      </c>
      <c r="B35" s="438"/>
      <c r="C35" s="438"/>
      <c r="D35" s="438"/>
      <c r="E35" s="439"/>
      <c r="F35" s="160">
        <v>282967.11</v>
      </c>
      <c r="G35" s="160">
        <v>200000</v>
      </c>
      <c r="H35" s="160">
        <v>140000</v>
      </c>
      <c r="I35" s="160">
        <v>0</v>
      </c>
      <c r="J35" s="161">
        <v>0</v>
      </c>
    </row>
    <row r="36" spans="1:10" ht="15" customHeight="1" x14ac:dyDescent="0.25">
      <c r="A36" s="427" t="s">
        <v>323</v>
      </c>
      <c r="B36" s="428"/>
      <c r="C36" s="428"/>
      <c r="D36" s="428"/>
      <c r="E36" s="428"/>
      <c r="F36" s="162">
        <f>F30+F35</f>
        <v>74508.329999999958</v>
      </c>
      <c r="G36" s="162">
        <f t="shared" ref="G36:J36" si="8">G30+G35</f>
        <v>0</v>
      </c>
      <c r="H36" s="162"/>
      <c r="I36" s="162">
        <f t="shared" si="8"/>
        <v>0</v>
      </c>
      <c r="J36" s="163">
        <f t="shared" si="8"/>
        <v>0</v>
      </c>
    </row>
    <row r="37" spans="1:10" ht="45" customHeight="1" x14ac:dyDescent="0.25">
      <c r="A37" s="431" t="s">
        <v>324</v>
      </c>
      <c r="B37" s="444"/>
      <c r="C37" s="444"/>
      <c r="D37" s="444"/>
      <c r="E37" s="445"/>
      <c r="F37" s="162">
        <f>F22+F29+F35-F36</f>
        <v>0</v>
      </c>
      <c r="G37" s="162">
        <f t="shared" ref="G37:J37" si="9">G22+G29+G35-G36</f>
        <v>0</v>
      </c>
      <c r="H37" s="162">
        <f>H22+H29+H35-H36</f>
        <v>0</v>
      </c>
      <c r="I37" s="162">
        <f t="shared" si="9"/>
        <v>0</v>
      </c>
      <c r="J37" s="163">
        <f t="shared" si="9"/>
        <v>0</v>
      </c>
    </row>
    <row r="38" spans="1:10" ht="18" customHeight="1" x14ac:dyDescent="0.25">
      <c r="A38" s="132"/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18" customHeight="1" x14ac:dyDescent="0.25">
      <c r="A39" s="446" t="s">
        <v>325</v>
      </c>
      <c r="B39" s="446"/>
      <c r="C39" s="446"/>
      <c r="D39" s="446"/>
      <c r="E39" s="446"/>
      <c r="F39" s="446"/>
      <c r="G39" s="446"/>
      <c r="H39" s="446"/>
      <c r="I39" s="446"/>
      <c r="J39" s="446"/>
    </row>
    <row r="40" spans="1:10" ht="18" x14ac:dyDescent="0.25">
      <c r="A40" s="134"/>
      <c r="B40" s="135"/>
      <c r="C40" s="135"/>
      <c r="D40" s="135"/>
      <c r="E40" s="135"/>
      <c r="F40" s="135"/>
      <c r="G40" s="135"/>
      <c r="H40" s="60"/>
      <c r="I40" s="60"/>
      <c r="J40" s="60"/>
    </row>
    <row r="41" spans="1:10" ht="25.5" x14ac:dyDescent="0.25">
      <c r="A41" s="136"/>
      <c r="B41" s="137"/>
      <c r="C41" s="137"/>
      <c r="D41" s="138"/>
      <c r="E41" s="139"/>
      <c r="F41" s="4" t="s">
        <v>727</v>
      </c>
      <c r="G41" s="4" t="s">
        <v>732</v>
      </c>
      <c r="H41" s="371" t="s">
        <v>730</v>
      </c>
      <c r="I41" s="371" t="s">
        <v>563</v>
      </c>
      <c r="J41" s="371" t="s">
        <v>731</v>
      </c>
    </row>
    <row r="42" spans="1:10" x14ac:dyDescent="0.25">
      <c r="A42" s="437" t="s">
        <v>322</v>
      </c>
      <c r="B42" s="438"/>
      <c r="C42" s="438"/>
      <c r="D42" s="438"/>
      <c r="E42" s="439"/>
      <c r="F42" s="160">
        <v>0</v>
      </c>
      <c r="G42" s="160">
        <f>F45</f>
        <v>0</v>
      </c>
      <c r="H42" s="160">
        <f>G45</f>
        <v>0</v>
      </c>
      <c r="I42" s="160">
        <f>H45</f>
        <v>0</v>
      </c>
      <c r="J42" s="161">
        <f>I45</f>
        <v>0</v>
      </c>
    </row>
    <row r="43" spans="1:10" ht="28.5" customHeight="1" x14ac:dyDescent="0.25">
      <c r="A43" s="437" t="s">
        <v>7</v>
      </c>
      <c r="B43" s="438"/>
      <c r="C43" s="438"/>
      <c r="D43" s="438"/>
      <c r="E43" s="439"/>
      <c r="F43" s="160">
        <v>0</v>
      </c>
      <c r="G43" s="160">
        <v>0</v>
      </c>
      <c r="H43" s="160">
        <v>0</v>
      </c>
      <c r="I43" s="160">
        <v>0</v>
      </c>
      <c r="J43" s="161">
        <v>0</v>
      </c>
    </row>
    <row r="44" spans="1:10" x14ac:dyDescent="0.25">
      <c r="A44" s="437" t="s">
        <v>326</v>
      </c>
      <c r="B44" s="440"/>
      <c r="C44" s="440"/>
      <c r="D44" s="440"/>
      <c r="E44" s="441"/>
      <c r="F44" s="160">
        <v>0</v>
      </c>
      <c r="G44" s="160">
        <v>0</v>
      </c>
      <c r="H44" s="160">
        <v>0</v>
      </c>
      <c r="I44" s="160">
        <v>0</v>
      </c>
      <c r="J44" s="161">
        <v>0</v>
      </c>
    </row>
    <row r="45" spans="1:10" ht="15" customHeight="1" x14ac:dyDescent="0.25">
      <c r="A45" s="427" t="s">
        <v>323</v>
      </c>
      <c r="B45" s="428"/>
      <c r="C45" s="428"/>
      <c r="D45" s="428"/>
      <c r="E45" s="428"/>
      <c r="F45" s="164">
        <f>F42-F43+F44</f>
        <v>0</v>
      </c>
      <c r="G45" s="164">
        <f t="shared" ref="G45:J45" si="10">G42-G43+G44</f>
        <v>0</v>
      </c>
      <c r="H45" s="164">
        <f t="shared" si="10"/>
        <v>0</v>
      </c>
      <c r="I45" s="164">
        <f t="shared" si="10"/>
        <v>0</v>
      </c>
      <c r="J45" s="165">
        <f t="shared" si="10"/>
        <v>0</v>
      </c>
    </row>
    <row r="46" spans="1:10" ht="17.25" customHeight="1" x14ac:dyDescent="0.25"/>
    <row r="47" spans="1:10" x14ac:dyDescent="0.25">
      <c r="A47" s="128"/>
      <c r="B47" s="129"/>
      <c r="C47" s="129"/>
      <c r="D47" s="129"/>
      <c r="E47" s="129"/>
      <c r="F47" s="130"/>
      <c r="G47" s="130"/>
      <c r="H47" s="130"/>
      <c r="I47" s="130"/>
      <c r="J47" s="130"/>
    </row>
  </sheetData>
  <mergeCells count="26">
    <mergeCell ref="A43:E43"/>
    <mergeCell ref="A44:E44"/>
    <mergeCell ref="A45:E45"/>
    <mergeCell ref="A20:E20"/>
    <mergeCell ref="A13:J13"/>
    <mergeCell ref="A24:J24"/>
    <mergeCell ref="A27:E27"/>
    <mergeCell ref="A28:E28"/>
    <mergeCell ref="A37:E37"/>
    <mergeCell ref="A39:J39"/>
    <mergeCell ref="A42:E42"/>
    <mergeCell ref="A29:E29"/>
    <mergeCell ref="A30:E30"/>
    <mergeCell ref="A32:J32"/>
    <mergeCell ref="A35:E35"/>
    <mergeCell ref="A36:E36"/>
    <mergeCell ref="A3:J3"/>
    <mergeCell ref="A21:E21"/>
    <mergeCell ref="A22:E22"/>
    <mergeCell ref="A5:J5"/>
    <mergeCell ref="A7:J7"/>
    <mergeCell ref="A16:E16"/>
    <mergeCell ref="A17:E17"/>
    <mergeCell ref="A18:E18"/>
    <mergeCell ref="A9:J9"/>
    <mergeCell ref="A11:J11"/>
  </mergeCells>
  <pageMargins left="0.9055118110236221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="106" zoomScaleNormal="106" workbookViewId="0">
      <selection activeCell="M24" sqref="M24"/>
    </sheetView>
  </sheetViews>
  <sheetFormatPr defaultRowHeight="14.25" x14ac:dyDescent="0.2"/>
  <cols>
    <col min="1" max="1" width="7.5703125" style="113" bestFit="1" customWidth="1"/>
    <col min="2" max="2" width="8.5703125" style="113" bestFit="1" customWidth="1"/>
    <col min="3" max="3" width="40.7109375" style="113" customWidth="1"/>
    <col min="4" max="8" width="25.28515625" style="113" customWidth="1"/>
    <col min="9" max="16384" width="9.140625" style="113"/>
  </cols>
  <sheetData>
    <row r="1" spans="1:8" x14ac:dyDescent="0.2">
      <c r="A1" s="435" t="s">
        <v>483</v>
      </c>
      <c r="B1" s="435"/>
      <c r="C1" s="435"/>
      <c r="D1" s="435"/>
      <c r="E1" s="435"/>
      <c r="F1" s="435"/>
      <c r="G1" s="435"/>
      <c r="H1" s="435"/>
    </row>
    <row r="2" spans="1:8" ht="18" x14ac:dyDescent="0.2">
      <c r="A2" s="5"/>
      <c r="B2" s="5"/>
      <c r="C2" s="5"/>
      <c r="D2" s="5"/>
      <c r="E2" s="5"/>
      <c r="F2" s="5"/>
      <c r="G2" s="6"/>
      <c r="H2" s="6"/>
    </row>
    <row r="3" spans="1:8" s="114" customFormat="1" ht="17.25" customHeight="1" x14ac:dyDescent="0.2">
      <c r="A3" s="449" t="s">
        <v>712</v>
      </c>
      <c r="B3" s="449"/>
      <c r="C3" s="449"/>
      <c r="D3" s="449"/>
      <c r="E3" s="449"/>
      <c r="F3" s="449"/>
      <c r="G3" s="449"/>
      <c r="H3" s="449"/>
    </row>
    <row r="4" spans="1:8" s="114" customFormat="1" ht="12.75" x14ac:dyDescent="0.2">
      <c r="A4" s="448" t="s">
        <v>581</v>
      </c>
      <c r="B4" s="448"/>
      <c r="C4" s="448"/>
      <c r="D4" s="448"/>
      <c r="E4" s="448"/>
      <c r="F4" s="448"/>
      <c r="G4" s="448"/>
      <c r="H4" s="448"/>
    </row>
    <row r="5" spans="1:8" s="114" customFormat="1" ht="12.75" x14ac:dyDescent="0.2">
      <c r="A5" s="211"/>
      <c r="B5" s="211"/>
      <c r="C5" s="211"/>
      <c r="D5" s="211"/>
      <c r="E5" s="211"/>
      <c r="F5" s="211"/>
      <c r="G5" s="211"/>
      <c r="H5" s="211"/>
    </row>
    <row r="6" spans="1:8" ht="15" x14ac:dyDescent="0.2">
      <c r="A6" s="429" t="s">
        <v>327</v>
      </c>
      <c r="B6" s="447"/>
      <c r="C6" s="447"/>
      <c r="D6" s="447"/>
      <c r="E6" s="447"/>
      <c r="F6" s="447"/>
      <c r="G6" s="447"/>
      <c r="H6" s="447"/>
    </row>
    <row r="7" spans="1:8" ht="18" x14ac:dyDescent="0.2">
      <c r="A7" s="5"/>
      <c r="B7" s="5"/>
      <c r="C7" s="5"/>
      <c r="D7" s="5"/>
      <c r="E7" s="5"/>
      <c r="F7" s="5"/>
      <c r="G7" s="6"/>
      <c r="H7" s="6"/>
    </row>
    <row r="8" spans="1:8" ht="25.5" x14ac:dyDescent="0.2">
      <c r="A8" s="17" t="s">
        <v>11</v>
      </c>
      <c r="B8" s="16" t="s">
        <v>12</v>
      </c>
      <c r="C8" s="16" t="s">
        <v>10</v>
      </c>
      <c r="D8" s="16" t="s">
        <v>728</v>
      </c>
      <c r="E8" s="334" t="s">
        <v>733</v>
      </c>
      <c r="F8" s="334" t="s">
        <v>730</v>
      </c>
      <c r="G8" s="334" t="s">
        <v>563</v>
      </c>
      <c r="H8" s="334" t="s">
        <v>731</v>
      </c>
    </row>
    <row r="9" spans="1:8" ht="21.75" customHeight="1" x14ac:dyDescent="0.2">
      <c r="A9" s="157"/>
      <c r="B9" s="158"/>
      <c r="C9" s="159" t="s">
        <v>484</v>
      </c>
      <c r="D9" s="166">
        <f>D10+D17</f>
        <v>1287848.2</v>
      </c>
      <c r="E9" s="166">
        <f>E10+E17</f>
        <v>2044186</v>
      </c>
      <c r="F9" s="166">
        <f>F10+F17</f>
        <v>2311361.2000000002</v>
      </c>
      <c r="G9" s="166">
        <f>G10+G17</f>
        <v>2473090</v>
      </c>
      <c r="H9" s="166">
        <f>H10+H17</f>
        <v>2538340</v>
      </c>
    </row>
    <row r="10" spans="1:8" ht="15.75" customHeight="1" x14ac:dyDescent="0.2">
      <c r="A10" s="10">
        <v>6</v>
      </c>
      <c r="B10" s="10"/>
      <c r="C10" s="10" t="s">
        <v>14</v>
      </c>
      <c r="D10" s="35">
        <f>D11+D12+D13+D14+D15+D16</f>
        <v>1287337.93</v>
      </c>
      <c r="E10" s="35">
        <f>E11+E12+E13+E14+E15+E16</f>
        <v>2043686</v>
      </c>
      <c r="F10" s="35">
        <f>F11+F12+F13+F14+F15+F16</f>
        <v>2280161.2000000002</v>
      </c>
      <c r="G10" s="35">
        <f>G11+G12+G13+G14+G15+G16</f>
        <v>2451890</v>
      </c>
      <c r="H10" s="35">
        <f>H11+H12+H13+H14+H15+H16</f>
        <v>2537140</v>
      </c>
    </row>
    <row r="11" spans="1:8" ht="15" customHeight="1" x14ac:dyDescent="0.2">
      <c r="A11" s="10"/>
      <c r="B11" s="14">
        <v>61</v>
      </c>
      <c r="C11" s="168" t="s">
        <v>15</v>
      </c>
      <c r="D11" s="33">
        <v>343078.42</v>
      </c>
      <c r="E11" s="54">
        <v>348700</v>
      </c>
      <c r="F11" s="54">
        <v>462009.2</v>
      </c>
      <c r="G11" s="54">
        <v>520000</v>
      </c>
      <c r="H11" s="54">
        <v>516000</v>
      </c>
    </row>
    <row r="12" spans="1:8" ht="30.75" customHeight="1" x14ac:dyDescent="0.2">
      <c r="A12" s="11"/>
      <c r="B12" s="11">
        <v>63</v>
      </c>
      <c r="C12" s="15" t="s">
        <v>42</v>
      </c>
      <c r="D12" s="33">
        <v>668270.01</v>
      </c>
      <c r="E12" s="54">
        <v>1307755</v>
      </c>
      <c r="F12" s="54">
        <v>1415209</v>
      </c>
      <c r="G12" s="54">
        <v>1436640</v>
      </c>
      <c r="H12" s="54">
        <v>1517530</v>
      </c>
    </row>
    <row r="13" spans="1:8" x14ac:dyDescent="0.2">
      <c r="A13" s="11"/>
      <c r="B13" s="11">
        <v>64</v>
      </c>
      <c r="C13" s="12" t="s">
        <v>40</v>
      </c>
      <c r="D13" s="33">
        <v>165747.82999999999</v>
      </c>
      <c r="E13" s="54">
        <v>198273</v>
      </c>
      <c r="F13" s="54">
        <v>193193</v>
      </c>
      <c r="G13" s="54">
        <v>254950</v>
      </c>
      <c r="H13" s="54">
        <v>220310</v>
      </c>
    </row>
    <row r="14" spans="1:8" ht="32.25" customHeight="1" x14ac:dyDescent="0.2">
      <c r="A14" s="11"/>
      <c r="B14" s="11">
        <v>65</v>
      </c>
      <c r="C14" s="15" t="s">
        <v>44</v>
      </c>
      <c r="D14" s="33">
        <v>109651.91</v>
      </c>
      <c r="E14" s="54">
        <v>188008</v>
      </c>
      <c r="F14" s="54">
        <v>208850</v>
      </c>
      <c r="G14" s="54">
        <v>239300</v>
      </c>
      <c r="H14" s="54">
        <v>282300</v>
      </c>
    </row>
    <row r="15" spans="1:8" ht="42" customHeight="1" x14ac:dyDescent="0.2">
      <c r="A15" s="11"/>
      <c r="B15" s="11">
        <v>66</v>
      </c>
      <c r="C15" s="15" t="s">
        <v>45</v>
      </c>
      <c r="D15" s="33">
        <v>589.76</v>
      </c>
      <c r="E15" s="54">
        <v>950</v>
      </c>
      <c r="F15" s="54">
        <v>900</v>
      </c>
      <c r="G15" s="54">
        <v>1000</v>
      </c>
      <c r="H15" s="54">
        <v>1000</v>
      </c>
    </row>
    <row r="16" spans="1:8" ht="19.5" customHeight="1" x14ac:dyDescent="0.2">
      <c r="A16" s="52"/>
      <c r="B16" s="52">
        <v>68</v>
      </c>
      <c r="C16" s="56" t="s">
        <v>496</v>
      </c>
      <c r="D16" s="41"/>
      <c r="E16" s="41"/>
      <c r="F16" s="41"/>
      <c r="G16" s="41"/>
      <c r="H16" s="41"/>
    </row>
    <row r="17" spans="1:8" ht="18.75" customHeight="1" x14ac:dyDescent="0.2">
      <c r="A17" s="13">
        <v>7</v>
      </c>
      <c r="B17" s="13"/>
      <c r="C17" s="28" t="s">
        <v>17</v>
      </c>
      <c r="D17" s="35">
        <f>D18</f>
        <v>510.27</v>
      </c>
      <c r="E17" s="109">
        <f t="shared" ref="E17" si="0">E18</f>
        <v>500</v>
      </c>
      <c r="F17" s="109">
        <f t="shared" ref="F17:H17" si="1">F18</f>
        <v>31200</v>
      </c>
      <c r="G17" s="109">
        <f t="shared" si="1"/>
        <v>21200</v>
      </c>
      <c r="H17" s="109">
        <f t="shared" si="1"/>
        <v>1200</v>
      </c>
    </row>
    <row r="18" spans="1:8" ht="25.5" customHeight="1" x14ac:dyDescent="0.2">
      <c r="A18" s="14"/>
      <c r="B18" s="14">
        <v>72</v>
      </c>
      <c r="C18" s="167" t="s">
        <v>43</v>
      </c>
      <c r="D18" s="33">
        <v>510.27</v>
      </c>
      <c r="E18" s="54">
        <v>500</v>
      </c>
      <c r="F18" s="54">
        <v>31200</v>
      </c>
      <c r="G18" s="54">
        <v>21200</v>
      </c>
      <c r="H18" s="115">
        <v>1200</v>
      </c>
    </row>
    <row r="19" spans="1:8" x14ac:dyDescent="0.2">
      <c r="G19" s="121"/>
      <c r="H19" s="121"/>
    </row>
    <row r="21" spans="1:8" ht="15" x14ac:dyDescent="0.2">
      <c r="A21" s="429" t="s">
        <v>328</v>
      </c>
      <c r="B21" s="447"/>
      <c r="C21" s="447"/>
      <c r="D21" s="447"/>
      <c r="E21" s="447"/>
      <c r="F21" s="447"/>
      <c r="G21" s="447"/>
      <c r="H21" s="447"/>
    </row>
    <row r="22" spans="1:8" ht="18" x14ac:dyDescent="0.2">
      <c r="A22" s="5"/>
      <c r="B22" s="5"/>
      <c r="C22" s="5"/>
      <c r="D22" s="5"/>
      <c r="E22" s="5"/>
      <c r="F22" s="5"/>
      <c r="G22" s="6"/>
      <c r="H22" s="6"/>
    </row>
    <row r="23" spans="1:8" ht="25.5" x14ac:dyDescent="0.2">
      <c r="A23" s="17" t="s">
        <v>11</v>
      </c>
      <c r="B23" s="16" t="s">
        <v>12</v>
      </c>
      <c r="C23" s="16" t="s">
        <v>19</v>
      </c>
      <c r="D23" s="16" t="s">
        <v>728</v>
      </c>
      <c r="E23" s="334" t="s">
        <v>733</v>
      </c>
      <c r="F23" s="334" t="s">
        <v>730</v>
      </c>
      <c r="G23" s="334" t="s">
        <v>563</v>
      </c>
      <c r="H23" s="334" t="s">
        <v>731</v>
      </c>
    </row>
    <row r="24" spans="1:8" ht="20.25" customHeight="1" x14ac:dyDescent="0.2">
      <c r="A24" s="157"/>
      <c r="B24" s="158"/>
      <c r="C24" s="159" t="s">
        <v>485</v>
      </c>
      <c r="D24" s="166">
        <f>D25+D33</f>
        <v>1496306.98</v>
      </c>
      <c r="E24" s="166">
        <f>E25+E33</f>
        <v>2244186</v>
      </c>
      <c r="F24" s="166">
        <f>F25+F33</f>
        <v>2451361.2000000002</v>
      </c>
      <c r="G24" s="166">
        <f>G25+G33</f>
        <v>2473090</v>
      </c>
      <c r="H24" s="166">
        <f>H25+H33</f>
        <v>2538340</v>
      </c>
    </row>
    <row r="25" spans="1:8" ht="15.75" customHeight="1" x14ac:dyDescent="0.2">
      <c r="A25" s="10">
        <v>3</v>
      </c>
      <c r="B25" s="10"/>
      <c r="C25" s="10" t="s">
        <v>20</v>
      </c>
      <c r="D25" s="35">
        <f>D26+D27+D28+D29+D30+D31+D32</f>
        <v>1032122.4099999999</v>
      </c>
      <c r="E25" s="109">
        <f>E26+E27+E28+E29+E30+E31+E32</f>
        <v>1249436</v>
      </c>
      <c r="F25" s="109">
        <f>F26+F27+F28+F29+F30+F31+F32</f>
        <v>1320371.2</v>
      </c>
      <c r="G25" s="109">
        <f>G26+G27+G28+G29+G30+G31+G32</f>
        <v>1611090</v>
      </c>
      <c r="H25" s="109">
        <f>H26+H27+H28+H29+H30+H31+H32</f>
        <v>1607340</v>
      </c>
    </row>
    <row r="26" spans="1:8" ht="15.75" customHeight="1" x14ac:dyDescent="0.2">
      <c r="A26" s="10"/>
      <c r="B26" s="14">
        <v>31</v>
      </c>
      <c r="C26" s="168" t="s">
        <v>21</v>
      </c>
      <c r="D26" s="33">
        <v>403862.67</v>
      </c>
      <c r="E26" s="54">
        <v>568445</v>
      </c>
      <c r="F26" s="54">
        <v>634379</v>
      </c>
      <c r="G26" s="54">
        <v>559400</v>
      </c>
      <c r="H26" s="54">
        <v>541700</v>
      </c>
    </row>
    <row r="27" spans="1:8" ht="13.5" customHeight="1" x14ac:dyDescent="0.2">
      <c r="A27" s="52"/>
      <c r="B27" s="55">
        <v>32</v>
      </c>
      <c r="C27" s="169" t="s">
        <v>32</v>
      </c>
      <c r="D27" s="41">
        <v>374662.45</v>
      </c>
      <c r="E27" s="54">
        <v>415617</v>
      </c>
      <c r="F27" s="54">
        <v>382692.2</v>
      </c>
      <c r="G27" s="54">
        <v>660690</v>
      </c>
      <c r="H27" s="54">
        <v>722540</v>
      </c>
    </row>
    <row r="28" spans="1:8" x14ac:dyDescent="0.2">
      <c r="A28" s="52"/>
      <c r="B28" s="52">
        <v>34</v>
      </c>
      <c r="C28" s="53" t="s">
        <v>100</v>
      </c>
      <c r="D28" s="41">
        <v>3705.61</v>
      </c>
      <c r="E28" s="54">
        <v>4392</v>
      </c>
      <c r="F28" s="54">
        <v>4600</v>
      </c>
      <c r="G28" s="54">
        <v>4600</v>
      </c>
      <c r="H28" s="54">
        <v>5200</v>
      </c>
    </row>
    <row r="29" spans="1:8" x14ac:dyDescent="0.2">
      <c r="A29" s="52"/>
      <c r="B29" s="52">
        <v>35</v>
      </c>
      <c r="C29" s="53" t="s">
        <v>46</v>
      </c>
      <c r="D29" s="41">
        <v>22816.78</v>
      </c>
      <c r="E29" s="54">
        <v>21300</v>
      </c>
      <c r="F29" s="54">
        <v>25400</v>
      </c>
      <c r="G29" s="54">
        <v>25400</v>
      </c>
      <c r="H29" s="54">
        <v>25400</v>
      </c>
    </row>
    <row r="30" spans="1:8" ht="25.5" x14ac:dyDescent="0.2">
      <c r="A30" s="52"/>
      <c r="B30" s="52">
        <v>36</v>
      </c>
      <c r="C30" s="56" t="s">
        <v>47</v>
      </c>
      <c r="D30" s="41">
        <v>50913.34</v>
      </c>
      <c r="E30" s="54">
        <v>45592</v>
      </c>
      <c r="F30" s="54">
        <v>36000</v>
      </c>
      <c r="G30" s="54">
        <v>86000</v>
      </c>
      <c r="H30" s="54">
        <v>59000</v>
      </c>
    </row>
    <row r="31" spans="1:8" ht="32.25" customHeight="1" x14ac:dyDescent="0.2">
      <c r="A31" s="52"/>
      <c r="B31" s="52">
        <v>37</v>
      </c>
      <c r="C31" s="56" t="s">
        <v>48</v>
      </c>
      <c r="D31" s="41">
        <v>71260.09</v>
      </c>
      <c r="E31" s="54">
        <v>66300</v>
      </c>
      <c r="F31" s="54">
        <v>100300</v>
      </c>
      <c r="G31" s="54">
        <v>113000</v>
      </c>
      <c r="H31" s="54">
        <v>114500</v>
      </c>
    </row>
    <row r="32" spans="1:8" x14ac:dyDescent="0.2">
      <c r="A32" s="52"/>
      <c r="B32" s="52">
        <v>38</v>
      </c>
      <c r="C32" s="53" t="s">
        <v>49</v>
      </c>
      <c r="D32" s="41">
        <v>104901.47</v>
      </c>
      <c r="E32" s="54">
        <v>127790</v>
      </c>
      <c r="F32" s="54">
        <v>137000</v>
      </c>
      <c r="G32" s="54">
        <v>162000</v>
      </c>
      <c r="H32" s="54">
        <v>139000</v>
      </c>
    </row>
    <row r="33" spans="1:8" ht="18.75" customHeight="1" x14ac:dyDescent="0.2">
      <c r="A33" s="57">
        <v>4</v>
      </c>
      <c r="B33" s="57"/>
      <c r="C33" s="58" t="s">
        <v>22</v>
      </c>
      <c r="D33" s="109">
        <f>D34+D35</f>
        <v>464184.56999999995</v>
      </c>
      <c r="E33" s="109">
        <f>E34+E35</f>
        <v>994750</v>
      </c>
      <c r="F33" s="109">
        <f>F34+F35</f>
        <v>1130990</v>
      </c>
      <c r="G33" s="109">
        <f>G34+G35</f>
        <v>862000</v>
      </c>
      <c r="H33" s="109">
        <f>H34+H35</f>
        <v>931000</v>
      </c>
    </row>
    <row r="34" spans="1:8" ht="25.5" customHeight="1" x14ac:dyDescent="0.2">
      <c r="A34" s="14"/>
      <c r="B34" s="14">
        <v>42</v>
      </c>
      <c r="C34" s="167" t="s">
        <v>39</v>
      </c>
      <c r="D34" s="41">
        <v>279392.84999999998</v>
      </c>
      <c r="E34" s="54">
        <v>822750</v>
      </c>
      <c r="F34" s="54">
        <v>905990</v>
      </c>
      <c r="G34" s="54">
        <v>802000</v>
      </c>
      <c r="H34" s="115">
        <v>831000</v>
      </c>
    </row>
    <row r="35" spans="1:8" ht="25.5" customHeight="1" x14ac:dyDescent="0.2">
      <c r="A35" s="14"/>
      <c r="B35" s="14">
        <v>45</v>
      </c>
      <c r="C35" s="167" t="s">
        <v>50</v>
      </c>
      <c r="D35" s="41">
        <v>184791.72</v>
      </c>
      <c r="E35" s="54">
        <v>172000</v>
      </c>
      <c r="F35" s="54">
        <v>225000</v>
      </c>
      <c r="G35" s="54">
        <v>60000</v>
      </c>
      <c r="H35" s="115">
        <v>100000</v>
      </c>
    </row>
    <row r="36" spans="1:8" hidden="1" x14ac:dyDescent="0.2">
      <c r="A36" s="55"/>
      <c r="B36" s="55"/>
      <c r="C36" s="53" t="s">
        <v>16</v>
      </c>
      <c r="D36" s="41">
        <f>D35-D38</f>
        <v>184791.72</v>
      </c>
      <c r="E36" s="54">
        <f>272.28+4645.3-1327.23+12608.67+39816.84</f>
        <v>56015.86</v>
      </c>
      <c r="F36" s="54"/>
      <c r="G36" s="54"/>
      <c r="H36" s="115"/>
    </row>
    <row r="37" spans="1:8" hidden="1" x14ac:dyDescent="0.2">
      <c r="A37" s="123"/>
      <c r="B37" s="123"/>
      <c r="C37" s="53" t="s">
        <v>104</v>
      </c>
      <c r="D37" s="125"/>
      <c r="E37" s="125">
        <f>13000</f>
        <v>13000</v>
      </c>
      <c r="F37" s="125"/>
      <c r="G37" s="124"/>
      <c r="H37" s="124"/>
    </row>
    <row r="38" spans="1:8" hidden="1" x14ac:dyDescent="0.2">
      <c r="A38" s="123"/>
      <c r="B38" s="123"/>
      <c r="C38" s="53" t="s">
        <v>103</v>
      </c>
      <c r="D38" s="125"/>
      <c r="E38" s="125">
        <f>26544.56+13272.28+7299.75+13272.28</f>
        <v>60388.87</v>
      </c>
      <c r="F38" s="125"/>
      <c r="G38" s="124"/>
      <c r="H38" s="124"/>
    </row>
    <row r="39" spans="1:8" x14ac:dyDescent="0.2">
      <c r="E39" s="126"/>
      <c r="F39" s="114"/>
      <c r="G39" s="121"/>
      <c r="H39" s="121"/>
    </row>
    <row r="40" spans="1:8" x14ac:dyDescent="0.2">
      <c r="E40" s="121"/>
      <c r="F40" s="121"/>
      <c r="G40" s="121"/>
      <c r="H40" s="121"/>
    </row>
    <row r="41" spans="1:8" x14ac:dyDescent="0.2">
      <c r="E41" s="121"/>
      <c r="F41" s="121"/>
    </row>
  </sheetData>
  <mergeCells count="5">
    <mergeCell ref="A6:H6"/>
    <mergeCell ref="A21:H21"/>
    <mergeCell ref="A4:H4"/>
    <mergeCell ref="A3:H3"/>
    <mergeCell ref="A1:H1"/>
  </mergeCells>
  <pageMargins left="0.9055118110236221" right="0.5118110236220472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9B4D-E264-4279-B143-11BCC41A2856}">
  <dimension ref="A1:F85"/>
  <sheetViews>
    <sheetView workbookViewId="0">
      <selection activeCell="L11" sqref="L11"/>
    </sheetView>
  </sheetViews>
  <sheetFormatPr defaultRowHeight="14.25" x14ac:dyDescent="0.2"/>
  <cols>
    <col min="1" max="1" width="53.42578125" style="113" customWidth="1"/>
    <col min="2" max="2" width="23.85546875" style="113" customWidth="1"/>
    <col min="3" max="3" width="18.7109375" style="113" customWidth="1"/>
    <col min="4" max="4" width="25.28515625" style="113" customWidth="1"/>
    <col min="5" max="6" width="22.7109375" style="113" customWidth="1"/>
    <col min="7" max="16384" width="9.140625" style="113"/>
  </cols>
  <sheetData>
    <row r="1" spans="1:6" x14ac:dyDescent="0.2">
      <c r="A1" s="435" t="s">
        <v>491</v>
      </c>
      <c r="B1" s="435"/>
      <c r="C1" s="435"/>
      <c r="D1" s="435"/>
      <c r="E1" s="435"/>
      <c r="F1" s="435"/>
    </row>
    <row r="2" spans="1:6" ht="18" x14ac:dyDescent="0.2">
      <c r="A2" s="5"/>
      <c r="B2" s="5"/>
      <c r="C2" s="5"/>
      <c r="D2" s="5"/>
      <c r="E2" s="5"/>
      <c r="F2" s="5"/>
    </row>
    <row r="3" spans="1:6" s="114" customFormat="1" ht="17.25" customHeight="1" x14ac:dyDescent="0.2">
      <c r="A3" s="449" t="s">
        <v>713</v>
      </c>
      <c r="B3" s="449"/>
      <c r="C3" s="449"/>
      <c r="D3" s="449"/>
      <c r="E3" s="449"/>
      <c r="F3" s="449"/>
    </row>
    <row r="4" spans="1:6" s="114" customFormat="1" ht="12.75" x14ac:dyDescent="0.2">
      <c r="A4" s="448" t="s">
        <v>582</v>
      </c>
      <c r="B4" s="448"/>
      <c r="C4" s="448"/>
      <c r="D4" s="448"/>
      <c r="E4" s="448"/>
      <c r="F4" s="448"/>
    </row>
    <row r="5" spans="1:6" ht="18" x14ac:dyDescent="0.2">
      <c r="A5" s="5"/>
      <c r="B5" s="5"/>
      <c r="C5" s="5"/>
      <c r="D5" s="5"/>
      <c r="E5" s="5"/>
      <c r="F5" s="5"/>
    </row>
    <row r="6" spans="1:6" ht="14.25" customHeight="1" x14ac:dyDescent="0.2">
      <c r="A6" s="200" t="s">
        <v>329</v>
      </c>
      <c r="B6" s="200"/>
      <c r="C6" s="201"/>
      <c r="D6" s="201"/>
      <c r="E6" s="201"/>
      <c r="F6" s="201"/>
    </row>
    <row r="7" spans="1:6" ht="15.75" x14ac:dyDescent="0.2">
      <c r="A7" s="29"/>
      <c r="B7" s="29"/>
      <c r="C7" s="189"/>
      <c r="D7" s="189"/>
      <c r="E7" s="189"/>
      <c r="F7" s="189"/>
    </row>
    <row r="8" spans="1:6" ht="25.5" x14ac:dyDescent="0.2">
      <c r="A8" s="190" t="s">
        <v>564</v>
      </c>
      <c r="B8" s="17" t="s">
        <v>728</v>
      </c>
      <c r="C8" s="335" t="s">
        <v>733</v>
      </c>
      <c r="D8" s="334" t="s">
        <v>730</v>
      </c>
      <c r="E8" s="334" t="s">
        <v>563</v>
      </c>
      <c r="F8" s="334" t="s">
        <v>731</v>
      </c>
    </row>
    <row r="9" spans="1:6" ht="15" customHeight="1" x14ac:dyDescent="0.2">
      <c r="A9" s="195" t="s">
        <v>0</v>
      </c>
      <c r="B9" s="206">
        <f>B10+B16+B17+B19+B29+B38+B39+B41</f>
        <v>1287848.2000000002</v>
      </c>
      <c r="C9" s="206">
        <f>C10+C16+C17+C19+C29+C38+C39+C41</f>
        <v>2044186</v>
      </c>
      <c r="D9" s="206">
        <f>D10+D16+D17+D19+D29+D38+D39+D41</f>
        <v>2311361.2000000002</v>
      </c>
      <c r="E9" s="206">
        <f>E10+E16+E17+E19+E29+E38+E39+E41</f>
        <v>2473090</v>
      </c>
      <c r="F9" s="206">
        <f>F10+F16+F17+F19+F29+F38+F39+F41</f>
        <v>2538340</v>
      </c>
    </row>
    <row r="10" spans="1:6" x14ac:dyDescent="0.2">
      <c r="A10" s="147" t="s">
        <v>912</v>
      </c>
      <c r="B10" s="202">
        <v>508757.26</v>
      </c>
      <c r="C10" s="202">
        <f t="shared" ref="C10" si="0">C11+C12+C13+C14</f>
        <v>545510</v>
      </c>
      <c r="D10" s="202">
        <f>D15</f>
        <v>653169.19999999995</v>
      </c>
      <c r="E10" s="202">
        <f>E15</f>
        <v>772850</v>
      </c>
      <c r="F10" s="202">
        <f>F15</f>
        <v>734510</v>
      </c>
    </row>
    <row r="11" spans="1:6" x14ac:dyDescent="0.2">
      <c r="A11" s="147" t="s">
        <v>565</v>
      </c>
      <c r="B11" s="202"/>
      <c r="C11" s="202">
        <v>348700</v>
      </c>
      <c r="D11" s="202"/>
      <c r="E11" s="54"/>
      <c r="F11" s="54"/>
    </row>
    <row r="12" spans="1:6" x14ac:dyDescent="0.2">
      <c r="A12" s="147" t="s">
        <v>566</v>
      </c>
      <c r="B12" s="202"/>
      <c r="C12" s="202">
        <v>50</v>
      </c>
      <c r="D12" s="202"/>
      <c r="E12" s="54"/>
      <c r="F12" s="54"/>
    </row>
    <row r="13" spans="1:6" x14ac:dyDescent="0.2">
      <c r="A13" s="147" t="s">
        <v>567</v>
      </c>
      <c r="B13" s="202"/>
      <c r="C13" s="202">
        <v>196760</v>
      </c>
      <c r="D13" s="202"/>
      <c r="E13" s="54"/>
      <c r="F13" s="54"/>
    </row>
    <row r="14" spans="1:6" x14ac:dyDescent="0.2">
      <c r="A14" s="147" t="s">
        <v>568</v>
      </c>
      <c r="B14" s="202"/>
      <c r="C14" s="202"/>
      <c r="D14" s="202"/>
      <c r="E14" s="54"/>
      <c r="F14" s="54"/>
    </row>
    <row r="15" spans="1:6" x14ac:dyDescent="0.2">
      <c r="A15" s="147" t="s">
        <v>849</v>
      </c>
      <c r="B15" s="202"/>
      <c r="C15" s="202"/>
      <c r="D15" s="202">
        <f>814609.2-140000-21440</f>
        <v>653169.19999999995</v>
      </c>
      <c r="E15" s="54">
        <f>1000+254950-100-100-100-2000-800+520000</f>
        <v>772850</v>
      </c>
      <c r="F15" s="54">
        <f>1200+1000+220310-800-2000-100-100+516000-100-900</f>
        <v>734510</v>
      </c>
    </row>
    <row r="16" spans="1:6" x14ac:dyDescent="0.2">
      <c r="A16" s="147" t="s">
        <v>859</v>
      </c>
      <c r="B16" s="202"/>
      <c r="C16" s="202"/>
      <c r="D16" s="202"/>
      <c r="E16" s="54"/>
      <c r="F16" s="54"/>
    </row>
    <row r="17" spans="1:6" x14ac:dyDescent="0.2">
      <c r="A17" s="147" t="s">
        <v>850</v>
      </c>
      <c r="B17" s="202">
        <f>B18</f>
        <v>29067.42</v>
      </c>
      <c r="C17" s="202">
        <f t="shared" ref="C17:F17" si="1">C18</f>
        <v>43508</v>
      </c>
      <c r="D17" s="202">
        <f t="shared" si="1"/>
        <v>34550</v>
      </c>
      <c r="E17" s="202">
        <f t="shared" si="1"/>
        <v>38000</v>
      </c>
      <c r="F17" s="202">
        <f t="shared" si="1"/>
        <v>44000</v>
      </c>
    </row>
    <row r="18" spans="1:6" x14ac:dyDescent="0.2">
      <c r="A18" s="147" t="s">
        <v>847</v>
      </c>
      <c r="B18" s="202">
        <v>29067.42</v>
      </c>
      <c r="C18" s="202">
        <v>43508</v>
      </c>
      <c r="D18" s="202">
        <v>34550</v>
      </c>
      <c r="E18" s="54">
        <v>38000</v>
      </c>
      <c r="F18" s="54">
        <v>44000</v>
      </c>
    </row>
    <row r="19" spans="1:6" x14ac:dyDescent="0.2">
      <c r="A19" s="196" t="s">
        <v>851</v>
      </c>
      <c r="B19" s="203">
        <f>B20+B21+B22+B23+B24+B25</f>
        <v>81753.50999999998</v>
      </c>
      <c r="C19" s="203">
        <f t="shared" ref="C19" si="2">C20+C21+C22+C23+C24+C25</f>
        <v>147413</v>
      </c>
      <c r="D19" s="203">
        <f>D27+D28+D26</f>
        <v>177233</v>
      </c>
      <c r="E19" s="203">
        <f>E26+E27+E28</f>
        <v>204400</v>
      </c>
      <c r="F19" s="203">
        <f>F26+F27+F28</f>
        <v>241100</v>
      </c>
    </row>
    <row r="20" spans="1:6" x14ac:dyDescent="0.2">
      <c r="A20" s="197" t="s">
        <v>569</v>
      </c>
      <c r="B20" s="203">
        <v>11572.26</v>
      </c>
      <c r="C20" s="203">
        <v>12000</v>
      </c>
      <c r="D20" s="203"/>
      <c r="E20" s="54"/>
      <c r="F20" s="54"/>
    </row>
    <row r="21" spans="1:6" x14ac:dyDescent="0.2">
      <c r="A21" s="197" t="s">
        <v>570</v>
      </c>
      <c r="B21" s="203">
        <v>18964.009999999998</v>
      </c>
      <c r="C21" s="203">
        <v>17000</v>
      </c>
      <c r="D21" s="203"/>
      <c r="E21" s="54"/>
      <c r="F21" s="54"/>
    </row>
    <row r="22" spans="1:6" x14ac:dyDescent="0.2">
      <c r="A22" s="197" t="s">
        <v>571</v>
      </c>
      <c r="B22" s="203">
        <v>49079.06</v>
      </c>
      <c r="C22" s="203">
        <v>115000</v>
      </c>
      <c r="D22" s="203"/>
      <c r="E22" s="54"/>
      <c r="F22" s="54"/>
    </row>
    <row r="23" spans="1:6" x14ac:dyDescent="0.2">
      <c r="A23" s="197" t="s">
        <v>572</v>
      </c>
      <c r="B23" s="203">
        <v>1911.89</v>
      </c>
      <c r="C23" s="203">
        <v>2800</v>
      </c>
      <c r="D23" s="203"/>
      <c r="E23" s="54"/>
      <c r="F23" s="54"/>
    </row>
    <row r="24" spans="1:6" x14ac:dyDescent="0.2">
      <c r="A24" s="197" t="s">
        <v>573</v>
      </c>
      <c r="B24" s="202">
        <v>148.38999999999999</v>
      </c>
      <c r="C24" s="203">
        <v>200</v>
      </c>
      <c r="D24" s="203"/>
      <c r="E24" s="54"/>
      <c r="F24" s="54"/>
    </row>
    <row r="25" spans="1:6" x14ac:dyDescent="0.2">
      <c r="A25" s="197" t="s">
        <v>706</v>
      </c>
      <c r="B25" s="202">
        <v>77.900000000000006</v>
      </c>
      <c r="C25" s="203">
        <v>413</v>
      </c>
      <c r="D25" s="203"/>
      <c r="E25" s="54"/>
      <c r="F25" s="54"/>
    </row>
    <row r="26" spans="1:6" x14ac:dyDescent="0.2">
      <c r="A26" s="197" t="s">
        <v>852</v>
      </c>
      <c r="B26" s="202"/>
      <c r="C26" s="203"/>
      <c r="D26" s="203">
        <v>17000</v>
      </c>
      <c r="E26" s="54">
        <v>34000</v>
      </c>
      <c r="F26" s="54">
        <v>34000</v>
      </c>
    </row>
    <row r="27" spans="1:6" x14ac:dyDescent="0.2">
      <c r="A27" s="197" t="s">
        <v>853</v>
      </c>
      <c r="B27" s="202"/>
      <c r="C27" s="203"/>
      <c r="D27" s="203">
        <v>60</v>
      </c>
      <c r="E27" s="54">
        <v>100</v>
      </c>
      <c r="F27" s="54">
        <v>100</v>
      </c>
    </row>
    <row r="28" spans="1:6" x14ac:dyDescent="0.2">
      <c r="A28" s="197" t="s">
        <v>854</v>
      </c>
      <c r="B28" s="202"/>
      <c r="C28" s="203"/>
      <c r="D28" s="203">
        <f>800+2000+73+12000+300+140000+5000</f>
        <v>160173</v>
      </c>
      <c r="E28" s="54">
        <f>800+2000+100+100+239300-34000-38000</f>
        <v>170300</v>
      </c>
      <c r="F28" s="54">
        <f>800+2000+100+100+282300-34000-44000-300</f>
        <v>207000</v>
      </c>
    </row>
    <row r="29" spans="1:6" x14ac:dyDescent="0.2">
      <c r="A29" s="147" t="s">
        <v>855</v>
      </c>
      <c r="B29" s="202">
        <f>B30+B31</f>
        <v>668270.01</v>
      </c>
      <c r="C29" s="202">
        <f t="shared" ref="C29" si="3">C30+C31</f>
        <v>1307755</v>
      </c>
      <c r="D29" s="202">
        <f>D32+D34+D33</f>
        <v>1415209</v>
      </c>
      <c r="E29" s="202">
        <f>E33+E34+E32</f>
        <v>1436640</v>
      </c>
      <c r="F29" s="202">
        <f>F33+F34+F32</f>
        <v>1517530</v>
      </c>
    </row>
    <row r="30" spans="1:6" x14ac:dyDescent="0.2">
      <c r="A30" s="147" t="s">
        <v>574</v>
      </c>
      <c r="B30" s="202">
        <v>38603.53</v>
      </c>
      <c r="C30" s="202">
        <v>431935</v>
      </c>
      <c r="D30" s="202"/>
      <c r="E30" s="54"/>
      <c r="F30" s="54"/>
    </row>
    <row r="31" spans="1:6" x14ac:dyDescent="0.2">
      <c r="A31" s="147" t="s">
        <v>575</v>
      </c>
      <c r="B31" s="202">
        <v>629666.48</v>
      </c>
      <c r="C31" s="202">
        <v>875820</v>
      </c>
      <c r="D31" s="202"/>
      <c r="E31" s="54"/>
      <c r="F31" s="54"/>
    </row>
    <row r="32" spans="1:6" x14ac:dyDescent="0.2">
      <c r="A32" s="147" t="s">
        <v>856</v>
      </c>
      <c r="B32" s="202"/>
      <c r="C32" s="202"/>
      <c r="D32" s="202">
        <f>853510+21440</f>
        <v>874950</v>
      </c>
      <c r="E32" s="54">
        <f>1436640-9000-70000-50000-14940-14000-26750</f>
        <v>1251950</v>
      </c>
      <c r="F32" s="54">
        <f>1517530-35000-320000-9000-50000-26290-14940-14000</f>
        <v>1048300</v>
      </c>
    </row>
    <row r="33" spans="1:6" x14ac:dyDescent="0.2">
      <c r="A33" s="147" t="s">
        <v>857</v>
      </c>
      <c r="B33" s="202"/>
      <c r="C33" s="202"/>
      <c r="D33" s="202">
        <f>50000+14919+14000+10000</f>
        <v>88919</v>
      </c>
      <c r="E33" s="54">
        <f>9000+70000+50000+14940+14000</f>
        <v>157940</v>
      </c>
      <c r="F33" s="54">
        <f>9000+50000+26290+14940+14000</f>
        <v>114230</v>
      </c>
    </row>
    <row r="34" spans="1:6" x14ac:dyDescent="0.2">
      <c r="A34" s="147" t="s">
        <v>858</v>
      </c>
      <c r="B34" s="202"/>
      <c r="C34" s="202"/>
      <c r="D34" s="202">
        <f>D35+D36+D37</f>
        <v>451340</v>
      </c>
      <c r="E34" s="202">
        <f t="shared" ref="E34" si="4">E35+E36+E37</f>
        <v>26750</v>
      </c>
      <c r="F34" s="202">
        <f>F35+F36+F37</f>
        <v>355000</v>
      </c>
    </row>
    <row r="35" spans="1:6" x14ac:dyDescent="0.2">
      <c r="A35" s="147" t="s">
        <v>865</v>
      </c>
      <c r="B35" s="202"/>
      <c r="C35" s="202"/>
      <c r="D35" s="202">
        <v>114740</v>
      </c>
      <c r="E35" s="54">
        <v>26750</v>
      </c>
      <c r="F35" s="54"/>
    </row>
    <row r="36" spans="1:6" x14ac:dyDescent="0.2">
      <c r="A36" s="147" t="s">
        <v>863</v>
      </c>
      <c r="B36" s="202"/>
      <c r="C36" s="202"/>
      <c r="D36" s="202">
        <f>76500+212500</f>
        <v>289000</v>
      </c>
      <c r="E36" s="54"/>
      <c r="F36" s="54">
        <v>35000</v>
      </c>
    </row>
    <row r="37" spans="1:6" x14ac:dyDescent="0.2">
      <c r="A37" s="147" t="s">
        <v>864</v>
      </c>
      <c r="B37" s="202"/>
      <c r="C37" s="202"/>
      <c r="D37" s="202">
        <v>47600</v>
      </c>
      <c r="E37" s="54"/>
      <c r="F37" s="54">
        <v>320000</v>
      </c>
    </row>
    <row r="38" spans="1:6" x14ac:dyDescent="0.2">
      <c r="A38" s="147" t="s">
        <v>860</v>
      </c>
      <c r="B38" s="203"/>
      <c r="C38" s="202"/>
      <c r="D38" s="202"/>
      <c r="E38" s="54"/>
      <c r="F38" s="54"/>
    </row>
    <row r="39" spans="1:6" x14ac:dyDescent="0.2">
      <c r="A39" s="198" t="s">
        <v>861</v>
      </c>
      <c r="B39" s="456"/>
      <c r="C39" s="458"/>
      <c r="D39" s="452">
        <v>31200</v>
      </c>
      <c r="E39" s="454">
        <v>21200</v>
      </c>
      <c r="F39" s="454">
        <v>1200</v>
      </c>
    </row>
    <row r="40" spans="1:6" x14ac:dyDescent="0.2">
      <c r="A40" s="199" t="s">
        <v>576</v>
      </c>
      <c r="B40" s="457"/>
      <c r="C40" s="459"/>
      <c r="D40" s="453"/>
      <c r="E40" s="455"/>
      <c r="F40" s="455"/>
    </row>
    <row r="41" spans="1:6" x14ac:dyDescent="0.2">
      <c r="A41" s="196" t="s">
        <v>862</v>
      </c>
      <c r="B41" s="34"/>
      <c r="C41" s="203"/>
      <c r="D41" s="203"/>
      <c r="E41" s="34"/>
      <c r="F41" s="34"/>
    </row>
    <row r="42" spans="1:6" x14ac:dyDescent="0.2">
      <c r="A42" s="152"/>
      <c r="B42" s="204"/>
      <c r="C42" s="205"/>
      <c r="D42" s="205"/>
      <c r="E42" s="204"/>
      <c r="F42" s="204"/>
    </row>
    <row r="43" spans="1:6" x14ac:dyDescent="0.2">
      <c r="A43" s="152"/>
      <c r="B43" s="204"/>
      <c r="C43" s="205"/>
      <c r="D43" s="205"/>
      <c r="E43" s="204"/>
      <c r="F43" s="204"/>
    </row>
    <row r="44" spans="1:6" x14ac:dyDescent="0.2">
      <c r="A44" s="152"/>
      <c r="B44" s="204"/>
      <c r="C44" s="205"/>
      <c r="D44" s="205"/>
      <c r="E44" s="204"/>
      <c r="F44" s="204"/>
    </row>
    <row r="45" spans="1:6" x14ac:dyDescent="0.2">
      <c r="A45" s="152"/>
      <c r="B45" s="204"/>
      <c r="C45" s="205"/>
      <c r="D45" s="205"/>
      <c r="E45" s="204"/>
      <c r="F45" s="204"/>
    </row>
    <row r="46" spans="1:6" x14ac:dyDescent="0.2">
      <c r="A46" s="152"/>
      <c r="B46" s="204"/>
      <c r="C46" s="205"/>
      <c r="D46" s="205"/>
      <c r="E46" s="204"/>
      <c r="F46" s="204"/>
    </row>
    <row r="47" spans="1:6" x14ac:dyDescent="0.2">
      <c r="A47" s="152"/>
      <c r="B47" s="204"/>
      <c r="C47" s="205"/>
      <c r="D47" s="205"/>
      <c r="E47" s="204"/>
      <c r="F47" s="204"/>
    </row>
    <row r="48" spans="1:6" x14ac:dyDescent="0.2">
      <c r="A48" s="152"/>
      <c r="B48" s="204"/>
      <c r="C48" s="205"/>
      <c r="D48" s="205"/>
      <c r="E48" s="204"/>
      <c r="F48" s="204"/>
    </row>
    <row r="49" spans="1:6" s="170" customFormat="1" ht="12.75" customHeight="1" x14ac:dyDescent="0.2">
      <c r="A49" s="200" t="s">
        <v>330</v>
      </c>
      <c r="B49" s="200"/>
      <c r="C49" s="201"/>
      <c r="D49" s="201"/>
      <c r="E49" s="201"/>
      <c r="F49" s="201"/>
    </row>
    <row r="50" spans="1:6" s="170" customFormat="1" ht="12" x14ac:dyDescent="0.2">
      <c r="A50" s="179"/>
      <c r="B50" s="179"/>
      <c r="C50" s="179"/>
      <c r="D50" s="179"/>
      <c r="E50" s="179"/>
      <c r="F50" s="179"/>
    </row>
    <row r="51" spans="1:6" s="170" customFormat="1" ht="12" x14ac:dyDescent="0.2">
      <c r="A51" s="179"/>
      <c r="B51" s="179"/>
      <c r="C51" s="179"/>
      <c r="D51" s="179"/>
      <c r="E51" s="179"/>
      <c r="F51" s="179"/>
    </row>
    <row r="52" spans="1:6" ht="25.5" x14ac:dyDescent="0.2">
      <c r="A52" s="190" t="s">
        <v>564</v>
      </c>
      <c r="B52" s="17" t="s">
        <v>728</v>
      </c>
      <c r="C52" s="335" t="s">
        <v>733</v>
      </c>
      <c r="D52" s="334" t="s">
        <v>730</v>
      </c>
      <c r="E52" s="334" t="s">
        <v>563</v>
      </c>
      <c r="F52" s="334" t="s">
        <v>731</v>
      </c>
    </row>
    <row r="53" spans="1:6" x14ac:dyDescent="0.2">
      <c r="A53" s="195" t="s">
        <v>577</v>
      </c>
      <c r="B53" s="208">
        <f>B54+B61+B63+B73</f>
        <v>1496306.9799999997</v>
      </c>
      <c r="C53" s="208">
        <f>C54+C60+C61+C63+C73+C82+C83+C85</f>
        <v>2244186</v>
      </c>
      <c r="D53" s="208">
        <f>D54+D60+D61+D63+D73+D82+D83+D85</f>
        <v>2451361.2000000002</v>
      </c>
      <c r="E53" s="208">
        <f>E54+E60+E61+E63+E73+E82+E83+E85</f>
        <v>2473090</v>
      </c>
      <c r="F53" s="208">
        <f>F54+F60+F61+F63+F73+F82+F83+F85</f>
        <v>2538340</v>
      </c>
    </row>
    <row r="54" spans="1:6" x14ac:dyDescent="0.2">
      <c r="A54" s="147" t="s">
        <v>848</v>
      </c>
      <c r="B54" s="203">
        <v>1058111.72</v>
      </c>
      <c r="C54" s="203">
        <f t="shared" ref="C54" si="5">C55+C56+C57+C58</f>
        <v>745510</v>
      </c>
      <c r="D54" s="203">
        <f>D59</f>
        <v>793169.2</v>
      </c>
      <c r="E54" s="203">
        <f t="shared" ref="E54:F54" si="6">E59</f>
        <v>772850</v>
      </c>
      <c r="F54" s="203">
        <f t="shared" si="6"/>
        <v>734510</v>
      </c>
    </row>
    <row r="55" spans="1:6" x14ac:dyDescent="0.2">
      <c r="A55" s="147" t="s">
        <v>565</v>
      </c>
      <c r="B55" s="202"/>
      <c r="C55" s="202">
        <v>335000</v>
      </c>
      <c r="D55" s="202"/>
      <c r="E55" s="271"/>
      <c r="F55" s="271"/>
    </row>
    <row r="56" spans="1:6" x14ac:dyDescent="0.2">
      <c r="A56" s="147" t="s">
        <v>566</v>
      </c>
      <c r="B56" s="202"/>
      <c r="C56" s="202">
        <v>50</v>
      </c>
      <c r="D56" s="202"/>
      <c r="E56" s="271"/>
      <c r="F56" s="271"/>
    </row>
    <row r="57" spans="1:6" x14ac:dyDescent="0.2">
      <c r="A57" s="147" t="s">
        <v>567</v>
      </c>
      <c r="B57" s="202"/>
      <c r="C57" s="202">
        <v>410460</v>
      </c>
      <c r="D57" s="202"/>
      <c r="E57" s="271"/>
      <c r="F57" s="271"/>
    </row>
    <row r="58" spans="1:6" x14ac:dyDescent="0.2">
      <c r="A58" s="147" t="s">
        <v>568</v>
      </c>
      <c r="B58" s="202"/>
      <c r="C58" s="202"/>
      <c r="D58" s="202"/>
      <c r="E58" s="271"/>
      <c r="F58" s="271"/>
    </row>
    <row r="59" spans="1:6" x14ac:dyDescent="0.2">
      <c r="A59" s="147" t="s">
        <v>849</v>
      </c>
      <c r="B59" s="202"/>
      <c r="C59" s="202"/>
      <c r="D59" s="202">
        <v>793169.2</v>
      </c>
      <c r="E59" s="271">
        <v>772850</v>
      </c>
      <c r="F59" s="271">
        <v>734510</v>
      </c>
    </row>
    <row r="60" spans="1:6" x14ac:dyDescent="0.2">
      <c r="A60" s="147" t="s">
        <v>859</v>
      </c>
      <c r="B60" s="202"/>
      <c r="C60" s="202"/>
      <c r="D60" s="202"/>
      <c r="E60" s="271"/>
      <c r="F60" s="271"/>
    </row>
    <row r="61" spans="1:6" x14ac:dyDescent="0.2">
      <c r="A61" s="147" t="s">
        <v>850</v>
      </c>
      <c r="B61" s="202">
        <f>B62</f>
        <v>29067.42</v>
      </c>
      <c r="C61" s="202">
        <f t="shared" ref="C61:F61" si="7">C62</f>
        <v>43508</v>
      </c>
      <c r="D61" s="202">
        <f t="shared" si="7"/>
        <v>34550</v>
      </c>
      <c r="E61" s="202">
        <f t="shared" si="7"/>
        <v>38000</v>
      </c>
      <c r="F61" s="202">
        <f t="shared" si="7"/>
        <v>44000</v>
      </c>
    </row>
    <row r="62" spans="1:6" x14ac:dyDescent="0.2">
      <c r="A62" s="147" t="s">
        <v>847</v>
      </c>
      <c r="B62" s="202">
        <v>29067.42</v>
      </c>
      <c r="C62" s="202">
        <v>43508</v>
      </c>
      <c r="D62" s="202">
        <v>34550</v>
      </c>
      <c r="E62" s="271">
        <v>38000</v>
      </c>
      <c r="F62" s="271">
        <v>44000</v>
      </c>
    </row>
    <row r="63" spans="1:6" x14ac:dyDescent="0.2">
      <c r="A63" s="196" t="s">
        <v>851</v>
      </c>
      <c r="B63" s="203">
        <f>B64+B65+B66+B67+B68+B69</f>
        <v>81690.119999999981</v>
      </c>
      <c r="C63" s="203">
        <f t="shared" ref="C63" si="8">C64+C65+C66+C67+C68+C69</f>
        <v>147413</v>
      </c>
      <c r="D63" s="203">
        <f>D70+D71+D72</f>
        <v>177233</v>
      </c>
      <c r="E63" s="203">
        <f t="shared" ref="E63:F63" si="9">E70+E71+E72</f>
        <v>204400</v>
      </c>
      <c r="F63" s="203">
        <f t="shared" si="9"/>
        <v>241100</v>
      </c>
    </row>
    <row r="64" spans="1:6" x14ac:dyDescent="0.2">
      <c r="A64" s="197" t="s">
        <v>569</v>
      </c>
      <c r="B64" s="203">
        <v>11572.26</v>
      </c>
      <c r="C64" s="203">
        <v>12000</v>
      </c>
      <c r="D64" s="203"/>
      <c r="E64" s="271"/>
      <c r="F64" s="271"/>
    </row>
    <row r="65" spans="1:6" x14ac:dyDescent="0.2">
      <c r="A65" s="197" t="s">
        <v>570</v>
      </c>
      <c r="B65" s="203">
        <v>18964.009999999998</v>
      </c>
      <c r="C65" s="203">
        <v>17000</v>
      </c>
      <c r="D65" s="203"/>
      <c r="E65" s="271"/>
      <c r="F65" s="271"/>
    </row>
    <row r="66" spans="1:6" x14ac:dyDescent="0.2">
      <c r="A66" s="197" t="s">
        <v>571</v>
      </c>
      <c r="B66" s="203">
        <v>49079.06</v>
      </c>
      <c r="C66" s="203">
        <v>115000</v>
      </c>
      <c r="D66" s="203"/>
      <c r="E66" s="271"/>
      <c r="F66" s="271"/>
    </row>
    <row r="67" spans="1:6" x14ac:dyDescent="0.2">
      <c r="A67" s="197" t="s">
        <v>572</v>
      </c>
      <c r="B67" s="203">
        <v>1911.89</v>
      </c>
      <c r="C67" s="203">
        <v>2800</v>
      </c>
      <c r="D67" s="203"/>
      <c r="E67" s="271"/>
      <c r="F67" s="271"/>
    </row>
    <row r="68" spans="1:6" x14ac:dyDescent="0.2">
      <c r="A68" s="197" t="s">
        <v>573</v>
      </c>
      <c r="B68" s="203">
        <v>85</v>
      </c>
      <c r="C68" s="203">
        <v>200</v>
      </c>
      <c r="D68" s="203"/>
      <c r="E68" s="271"/>
      <c r="F68" s="271"/>
    </row>
    <row r="69" spans="1:6" x14ac:dyDescent="0.2">
      <c r="A69" s="197" t="s">
        <v>706</v>
      </c>
      <c r="B69" s="203">
        <v>77.900000000000006</v>
      </c>
      <c r="C69" s="203">
        <v>413</v>
      </c>
      <c r="D69" s="203"/>
      <c r="E69" s="271"/>
      <c r="F69" s="271"/>
    </row>
    <row r="70" spans="1:6" x14ac:dyDescent="0.2">
      <c r="A70" s="197" t="s">
        <v>852</v>
      </c>
      <c r="B70" s="203"/>
      <c r="C70" s="203"/>
      <c r="D70" s="203">
        <v>17000</v>
      </c>
      <c r="E70" s="271">
        <v>34000</v>
      </c>
      <c r="F70" s="271">
        <v>34000</v>
      </c>
    </row>
    <row r="71" spans="1:6" x14ac:dyDescent="0.2">
      <c r="A71" s="197" t="s">
        <v>853</v>
      </c>
      <c r="B71" s="203"/>
      <c r="C71" s="203"/>
      <c r="D71" s="203">
        <v>60</v>
      </c>
      <c r="E71" s="271">
        <v>100</v>
      </c>
      <c r="F71" s="271">
        <v>100</v>
      </c>
    </row>
    <row r="72" spans="1:6" x14ac:dyDescent="0.2">
      <c r="A72" s="197" t="s">
        <v>854</v>
      </c>
      <c r="B72" s="203"/>
      <c r="C72" s="203"/>
      <c r="D72" s="203">
        <v>160173</v>
      </c>
      <c r="E72" s="271">
        <v>170300</v>
      </c>
      <c r="F72" s="271">
        <v>207000</v>
      </c>
    </row>
    <row r="73" spans="1:6" x14ac:dyDescent="0.2">
      <c r="A73" s="147" t="s">
        <v>855</v>
      </c>
      <c r="B73" s="202">
        <f>B74+B75</f>
        <v>327437.71999999997</v>
      </c>
      <c r="C73" s="202">
        <f>C74+C75</f>
        <v>1307755</v>
      </c>
      <c r="D73" s="202">
        <f>D76+D77+D78</f>
        <v>1415209</v>
      </c>
      <c r="E73" s="202">
        <f t="shared" ref="E73:F73" si="10">E76+E77+E78</f>
        <v>1436640</v>
      </c>
      <c r="F73" s="202">
        <f t="shared" si="10"/>
        <v>1517530</v>
      </c>
    </row>
    <row r="74" spans="1:6" x14ac:dyDescent="0.2">
      <c r="A74" s="147" t="s">
        <v>574</v>
      </c>
      <c r="B74" s="202">
        <v>36296.239999999998</v>
      </c>
      <c r="C74" s="202">
        <v>431935</v>
      </c>
      <c r="D74" s="202"/>
      <c r="E74" s="271"/>
      <c r="F74" s="271"/>
    </row>
    <row r="75" spans="1:6" x14ac:dyDescent="0.2">
      <c r="A75" s="147" t="s">
        <v>575</v>
      </c>
      <c r="B75" s="202">
        <v>291141.48</v>
      </c>
      <c r="C75" s="202">
        <v>875820</v>
      </c>
      <c r="D75" s="202"/>
      <c r="E75" s="271"/>
      <c r="F75" s="271"/>
    </row>
    <row r="76" spans="1:6" x14ac:dyDescent="0.2">
      <c r="A76" s="147" t="s">
        <v>856</v>
      </c>
      <c r="B76" s="202"/>
      <c r="C76" s="202"/>
      <c r="D76" s="202">
        <v>874950</v>
      </c>
      <c r="E76" s="271">
        <v>1251950</v>
      </c>
      <c r="F76" s="271">
        <v>1048300</v>
      </c>
    </row>
    <row r="77" spans="1:6" x14ac:dyDescent="0.2">
      <c r="A77" s="147" t="s">
        <v>857</v>
      </c>
      <c r="B77" s="202"/>
      <c r="C77" s="202"/>
      <c r="D77" s="202">
        <v>88919</v>
      </c>
      <c r="E77" s="271">
        <v>157940</v>
      </c>
      <c r="F77" s="271">
        <v>114230</v>
      </c>
    </row>
    <row r="78" spans="1:6" x14ac:dyDescent="0.2">
      <c r="A78" s="147" t="s">
        <v>858</v>
      </c>
      <c r="B78" s="202"/>
      <c r="C78" s="202"/>
      <c r="D78" s="202">
        <v>451340</v>
      </c>
      <c r="E78" s="271">
        <v>26750</v>
      </c>
      <c r="F78" s="271">
        <f>35000+320000</f>
        <v>355000</v>
      </c>
    </row>
    <row r="79" spans="1:6" x14ac:dyDescent="0.2">
      <c r="A79" s="147" t="s">
        <v>865</v>
      </c>
      <c r="B79" s="202"/>
      <c r="C79" s="202"/>
      <c r="D79" s="202"/>
      <c r="E79" s="271"/>
      <c r="F79" s="271"/>
    </row>
    <row r="80" spans="1:6" x14ac:dyDescent="0.2">
      <c r="A80" s="147" t="s">
        <v>863</v>
      </c>
      <c r="B80" s="202"/>
      <c r="C80" s="202"/>
      <c r="D80" s="202"/>
      <c r="E80" s="271"/>
      <c r="F80" s="271"/>
    </row>
    <row r="81" spans="1:6" x14ac:dyDescent="0.2">
      <c r="A81" s="147" t="s">
        <v>864</v>
      </c>
      <c r="B81" s="202"/>
      <c r="C81" s="202"/>
      <c r="D81" s="202"/>
      <c r="E81" s="271"/>
      <c r="F81" s="271"/>
    </row>
    <row r="82" spans="1:6" x14ac:dyDescent="0.2">
      <c r="A82" s="147" t="s">
        <v>860</v>
      </c>
      <c r="B82" s="202"/>
      <c r="C82" s="202"/>
      <c r="D82" s="202"/>
      <c r="E82" s="271"/>
      <c r="F82" s="271"/>
    </row>
    <row r="83" spans="1:6" x14ac:dyDescent="0.2">
      <c r="A83" s="198" t="s">
        <v>861</v>
      </c>
      <c r="B83" s="452"/>
      <c r="C83" s="452"/>
      <c r="D83" s="452">
        <v>31200</v>
      </c>
      <c r="E83" s="450">
        <v>21200</v>
      </c>
      <c r="F83" s="450">
        <v>1200</v>
      </c>
    </row>
    <row r="84" spans="1:6" x14ac:dyDescent="0.2">
      <c r="A84" s="207" t="s">
        <v>576</v>
      </c>
      <c r="B84" s="453"/>
      <c r="C84" s="453"/>
      <c r="D84" s="453"/>
      <c r="E84" s="451"/>
      <c r="F84" s="451"/>
    </row>
    <row r="85" spans="1:6" x14ac:dyDescent="0.2">
      <c r="A85" s="196" t="s">
        <v>862</v>
      </c>
      <c r="B85" s="203"/>
      <c r="C85" s="203"/>
      <c r="D85" s="203"/>
      <c r="E85" s="209"/>
      <c r="F85" s="209"/>
    </row>
  </sheetData>
  <mergeCells count="13">
    <mergeCell ref="A4:F4"/>
    <mergeCell ref="A1:F1"/>
    <mergeCell ref="A3:F3"/>
    <mergeCell ref="E39:E40"/>
    <mergeCell ref="F39:F40"/>
    <mergeCell ref="B39:B40"/>
    <mergeCell ref="C39:C40"/>
    <mergeCell ref="D39:D40"/>
    <mergeCell ref="E83:E84"/>
    <mergeCell ref="F83:F84"/>
    <mergeCell ref="B83:B84"/>
    <mergeCell ref="C83:C84"/>
    <mergeCell ref="D83:D84"/>
  </mergeCells>
  <pageMargins left="1.1023622047244095" right="0.19685039370078741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8"/>
  <sheetViews>
    <sheetView zoomScaleNormal="100" workbookViewId="0">
      <selection sqref="A1:XFD1"/>
    </sheetView>
  </sheetViews>
  <sheetFormatPr defaultRowHeight="15" x14ac:dyDescent="0.25"/>
  <cols>
    <col min="1" max="1" width="39" style="122" customWidth="1"/>
    <col min="2" max="6" width="18.7109375" customWidth="1"/>
  </cols>
  <sheetData>
    <row r="2" spans="1:8" s="113" customFormat="1" ht="14.25" x14ac:dyDescent="0.2">
      <c r="A2" s="435" t="s">
        <v>493</v>
      </c>
      <c r="B2" s="435"/>
      <c r="C2" s="435"/>
      <c r="D2" s="435"/>
      <c r="E2" s="435"/>
      <c r="F2" s="435"/>
      <c r="G2" s="200"/>
      <c r="H2" s="200"/>
    </row>
    <row r="3" spans="1:8" s="113" customFormat="1" ht="18" x14ac:dyDescent="0.2">
      <c r="A3" s="5"/>
      <c r="B3" s="5"/>
      <c r="C3" s="5"/>
      <c r="D3" s="5"/>
      <c r="E3" s="5"/>
      <c r="F3" s="5"/>
      <c r="G3" s="5"/>
      <c r="H3" s="6"/>
    </row>
    <row r="4" spans="1:8" s="114" customFormat="1" ht="17.25" customHeight="1" x14ac:dyDescent="0.2">
      <c r="A4" s="114" t="s">
        <v>714</v>
      </c>
      <c r="G4" s="192"/>
      <c r="H4" s="192"/>
    </row>
    <row r="5" spans="1:8" s="114" customFormat="1" ht="12.75" x14ac:dyDescent="0.2">
      <c r="A5" s="448" t="s">
        <v>701</v>
      </c>
      <c r="B5" s="448"/>
      <c r="C5" s="448"/>
      <c r="D5" s="448"/>
      <c r="E5" s="448"/>
      <c r="F5" s="448"/>
      <c r="G5" s="448"/>
      <c r="H5" s="448"/>
    </row>
    <row r="6" spans="1:8" s="114" customFormat="1" ht="12.75" x14ac:dyDescent="0.2">
      <c r="A6" s="211"/>
      <c r="B6" s="211"/>
      <c r="C6" s="211"/>
      <c r="D6" s="211"/>
      <c r="E6" s="211"/>
      <c r="F6" s="211"/>
      <c r="G6" s="211"/>
      <c r="H6" s="211"/>
    </row>
    <row r="7" spans="1:8" s="113" customFormat="1" ht="38.25" x14ac:dyDescent="0.2">
      <c r="A7" s="272" t="s">
        <v>700</v>
      </c>
      <c r="B7" s="273" t="s">
        <v>728</v>
      </c>
      <c r="C7" s="335" t="s">
        <v>733</v>
      </c>
      <c r="D7" s="334" t="s">
        <v>730</v>
      </c>
      <c r="E7" s="334" t="s">
        <v>563</v>
      </c>
      <c r="F7" s="334" t="s">
        <v>731</v>
      </c>
      <c r="G7" s="156"/>
      <c r="H7" s="156"/>
    </row>
    <row r="8" spans="1:8" s="180" customFormat="1" ht="27.75" customHeight="1" x14ac:dyDescent="0.2">
      <c r="A8" s="171" t="s">
        <v>23</v>
      </c>
      <c r="B8" s="176">
        <f>B9+B15+B13+B17+B22+B25+B32+B37+B42+B30</f>
        <v>1496306.9800000002</v>
      </c>
      <c r="C8" s="172">
        <f>C9+C15+C13+C17+C22+C25+C32+C37+C42+C30</f>
        <v>2244186</v>
      </c>
      <c r="D8" s="172">
        <f>D9+D13+D15+D17+D22+D25+D30+D32+D37+D42</f>
        <v>2451361.2000000002</v>
      </c>
      <c r="E8" s="172">
        <f t="shared" ref="E8:F8" si="0">E9+E13+E15+E17+E22+E25+E30+E32+E37+E42</f>
        <v>2473090</v>
      </c>
      <c r="F8" s="172">
        <f t="shared" si="0"/>
        <v>2538340</v>
      </c>
    </row>
    <row r="9" spans="1:8" s="180" customFormat="1" ht="15.75" customHeight="1" x14ac:dyDescent="0.2">
      <c r="A9" s="171" t="s">
        <v>24</v>
      </c>
      <c r="B9" s="174">
        <f>B10+B11+B12</f>
        <v>282291.88</v>
      </c>
      <c r="C9" s="174">
        <f t="shared" ref="C9" si="1">C10+C11+C12</f>
        <v>382712</v>
      </c>
      <c r="D9" s="174">
        <f>D10+D11+D12</f>
        <v>451180</v>
      </c>
      <c r="E9" s="174">
        <f t="shared" ref="E9:F9" si="2">E10+E11+E12</f>
        <v>569100</v>
      </c>
      <c r="F9" s="174">
        <f t="shared" si="2"/>
        <v>598600</v>
      </c>
    </row>
    <row r="10" spans="1:8" s="180" customFormat="1" ht="15.75" customHeight="1" x14ac:dyDescent="0.2">
      <c r="A10" s="173" t="s">
        <v>333</v>
      </c>
      <c r="B10" s="174">
        <v>62226.95</v>
      </c>
      <c r="C10" s="175">
        <v>81212</v>
      </c>
      <c r="D10" s="175">
        <f>49850+8520</f>
        <v>58370</v>
      </c>
      <c r="E10" s="175">
        <f>50000+8600</f>
        <v>58600</v>
      </c>
      <c r="F10" s="175">
        <f>51000+8600</f>
        <v>59600</v>
      </c>
    </row>
    <row r="11" spans="1:8" s="180" customFormat="1" ht="15.75" customHeight="1" x14ac:dyDescent="0.2">
      <c r="A11" s="173" t="s">
        <v>578</v>
      </c>
      <c r="B11" s="174"/>
      <c r="C11" s="175"/>
      <c r="D11" s="175"/>
      <c r="E11" s="175"/>
      <c r="F11" s="175"/>
    </row>
    <row r="12" spans="1:8" s="180" customFormat="1" ht="20.25" customHeight="1" x14ac:dyDescent="0.2">
      <c r="A12" s="173" t="s">
        <v>334</v>
      </c>
      <c r="B12" s="174">
        <v>220064.93</v>
      </c>
      <c r="C12" s="175">
        <v>301500</v>
      </c>
      <c r="D12" s="175">
        <f>16200+253110+30000+3500+90000</f>
        <v>392810</v>
      </c>
      <c r="E12" s="175">
        <f>18000+387500+81000+24000</f>
        <v>510500</v>
      </c>
      <c r="F12" s="175">
        <f>20000+479000+23000+7000+10000</f>
        <v>539000</v>
      </c>
    </row>
    <row r="13" spans="1:8" s="180" customFormat="1" ht="15.75" customHeight="1" x14ac:dyDescent="0.2">
      <c r="A13" s="171" t="s">
        <v>54</v>
      </c>
      <c r="B13" s="174">
        <f>B14</f>
        <v>2000</v>
      </c>
      <c r="C13" s="175">
        <f>C14</f>
        <v>3500</v>
      </c>
      <c r="D13" s="175">
        <f t="shared" ref="D13:F13" si="3">D14</f>
        <v>0</v>
      </c>
      <c r="E13" s="175">
        <f t="shared" si="3"/>
        <v>0</v>
      </c>
      <c r="F13" s="175">
        <f t="shared" si="3"/>
        <v>0</v>
      </c>
    </row>
    <row r="14" spans="1:8" s="180" customFormat="1" ht="15.75" customHeight="1" x14ac:dyDescent="0.2">
      <c r="A14" s="173" t="s">
        <v>550</v>
      </c>
      <c r="B14" s="174">
        <v>2000</v>
      </c>
      <c r="C14" s="175">
        <v>3500</v>
      </c>
      <c r="D14" s="175"/>
      <c r="E14" s="175"/>
      <c r="F14" s="175"/>
    </row>
    <row r="15" spans="1:8" s="180" customFormat="1" ht="15.75" customHeight="1" x14ac:dyDescent="0.2">
      <c r="A15" s="171" t="s">
        <v>51</v>
      </c>
      <c r="B15" s="174">
        <f>B16</f>
        <v>37198.01</v>
      </c>
      <c r="C15" s="174">
        <f t="shared" ref="C15:E15" si="4">C16</f>
        <v>34000</v>
      </c>
      <c r="D15" s="174">
        <f t="shared" si="4"/>
        <v>43000</v>
      </c>
      <c r="E15" s="174">
        <f t="shared" si="4"/>
        <v>43000</v>
      </c>
      <c r="F15" s="174">
        <f>F16</f>
        <v>43000</v>
      </c>
    </row>
    <row r="16" spans="1:8" s="180" customFormat="1" ht="12" x14ac:dyDescent="0.2">
      <c r="A16" s="173" t="s">
        <v>549</v>
      </c>
      <c r="B16" s="174">
        <v>37198.01</v>
      </c>
      <c r="C16" s="175">
        <v>34000</v>
      </c>
      <c r="D16" s="175">
        <f>40000+3000</f>
        <v>43000</v>
      </c>
      <c r="E16" s="175">
        <f>40000+3000</f>
        <v>43000</v>
      </c>
      <c r="F16" s="177">
        <f>40000+3000</f>
        <v>43000</v>
      </c>
    </row>
    <row r="17" spans="1:6" s="180" customFormat="1" ht="15.75" customHeight="1" x14ac:dyDescent="0.2">
      <c r="A17" s="171" t="s">
        <v>25</v>
      </c>
      <c r="B17" s="174">
        <f>B18+B19+B20</f>
        <v>49857.64</v>
      </c>
      <c r="C17" s="174">
        <f t="shared" ref="C17" si="5">C18+C19+C20</f>
        <v>44192</v>
      </c>
      <c r="D17" s="174">
        <f>D18+D19+D20+D21</f>
        <v>228240</v>
      </c>
      <c r="E17" s="174">
        <f t="shared" ref="E17:F17" si="6">E18+E19+E20+E21</f>
        <v>263300</v>
      </c>
      <c r="F17" s="174">
        <f t="shared" si="6"/>
        <v>501300</v>
      </c>
    </row>
    <row r="18" spans="1:6" s="180" customFormat="1" ht="24" x14ac:dyDescent="0.2">
      <c r="A18" s="173" t="s">
        <v>336</v>
      </c>
      <c r="B18" s="174">
        <v>588</v>
      </c>
      <c r="C18" s="175">
        <v>5000</v>
      </c>
      <c r="D18" s="175"/>
      <c r="E18" s="175"/>
      <c r="F18" s="177"/>
    </row>
    <row r="19" spans="1:6" s="180" customFormat="1" ht="12" x14ac:dyDescent="0.2">
      <c r="A19" s="181" t="s">
        <v>335</v>
      </c>
      <c r="B19" s="174">
        <v>25139.11</v>
      </c>
      <c r="C19" s="175">
        <v>19192</v>
      </c>
      <c r="D19" s="175">
        <f>23240</f>
        <v>23240</v>
      </c>
      <c r="E19" s="175">
        <f>23300</f>
        <v>23300</v>
      </c>
      <c r="F19" s="177">
        <f>23300</f>
        <v>23300</v>
      </c>
    </row>
    <row r="20" spans="1:6" s="180" customFormat="1" ht="12" x14ac:dyDescent="0.2">
      <c r="A20" s="173" t="s">
        <v>540</v>
      </c>
      <c r="B20" s="174">
        <v>24130.53</v>
      </c>
      <c r="C20" s="175">
        <v>20000</v>
      </c>
      <c r="D20" s="175">
        <f>10000+60000+40000+90000</f>
        <v>200000</v>
      </c>
      <c r="E20" s="175">
        <f>60000+80000+95000</f>
        <v>235000</v>
      </c>
      <c r="F20" s="177">
        <f>33000+60000+60000+320000</f>
        <v>473000</v>
      </c>
    </row>
    <row r="21" spans="1:6" s="180" customFormat="1" ht="12" x14ac:dyDescent="0.2">
      <c r="A21" s="173" t="s">
        <v>893</v>
      </c>
      <c r="B21" s="174"/>
      <c r="C21" s="175"/>
      <c r="D21" s="175">
        <v>5000</v>
      </c>
      <c r="E21" s="175">
        <v>5000</v>
      </c>
      <c r="F21" s="177">
        <v>5000</v>
      </c>
    </row>
    <row r="22" spans="1:6" s="180" customFormat="1" ht="15.75" customHeight="1" x14ac:dyDescent="0.2">
      <c r="A22" s="171" t="s">
        <v>52</v>
      </c>
      <c r="B22" s="210">
        <f>B23+B24</f>
        <v>26028.45</v>
      </c>
      <c r="C22" s="210">
        <f t="shared" ref="C22" si="7">C23+C24</f>
        <v>26290</v>
      </c>
      <c r="D22" s="210">
        <f>D23+D24</f>
        <v>28830</v>
      </c>
      <c r="E22" s="210">
        <f t="shared" ref="E22:F22" si="8">E23+E24</f>
        <v>70400</v>
      </c>
      <c r="F22" s="210">
        <f t="shared" si="8"/>
        <v>32900</v>
      </c>
    </row>
    <row r="23" spans="1:6" s="180" customFormat="1" ht="12" x14ac:dyDescent="0.2">
      <c r="A23" s="173" t="s">
        <v>547</v>
      </c>
      <c r="B23" s="210">
        <v>8908.5</v>
      </c>
      <c r="C23" s="210">
        <v>9230</v>
      </c>
      <c r="D23" s="210">
        <f>9630+3000</f>
        <v>12630</v>
      </c>
      <c r="E23" s="210">
        <f>9400+3000</f>
        <v>12400</v>
      </c>
      <c r="F23" s="210">
        <f>9500+3000</f>
        <v>12500</v>
      </c>
    </row>
    <row r="24" spans="1:6" s="180" customFormat="1" ht="24" x14ac:dyDescent="0.2">
      <c r="A24" s="173" t="s">
        <v>544</v>
      </c>
      <c r="B24" s="210">
        <v>17119.95</v>
      </c>
      <c r="C24" s="210">
        <v>17060</v>
      </c>
      <c r="D24" s="210">
        <f>16200</f>
        <v>16200</v>
      </c>
      <c r="E24" s="210">
        <f>20000+38000</f>
        <v>58000</v>
      </c>
      <c r="F24" s="210">
        <f>16400+4000</f>
        <v>20400</v>
      </c>
    </row>
    <row r="25" spans="1:6" s="180" customFormat="1" ht="15.75" customHeight="1" x14ac:dyDescent="0.2">
      <c r="A25" s="171" t="s">
        <v>53</v>
      </c>
      <c r="B25" s="210">
        <f>B27+B26+B28+B29</f>
        <v>622050.25000000012</v>
      </c>
      <c r="C25" s="210">
        <f t="shared" ref="C25" si="9">C27+C26+C28+C29</f>
        <v>1120650</v>
      </c>
      <c r="D25" s="210">
        <f>D27+D26+D28+D29</f>
        <v>707500</v>
      </c>
      <c r="E25" s="210">
        <f t="shared" ref="E25:F25" si="10">E27+E26+E28+E29</f>
        <v>831200</v>
      </c>
      <c r="F25" s="210">
        <f t="shared" si="10"/>
        <v>610700</v>
      </c>
    </row>
    <row r="26" spans="1:6" s="180" customFormat="1" ht="12" x14ac:dyDescent="0.2">
      <c r="A26" s="173" t="s">
        <v>543</v>
      </c>
      <c r="B26" s="210">
        <v>553395.55000000005</v>
      </c>
      <c r="C26" s="210">
        <v>1066450</v>
      </c>
      <c r="D26" s="210">
        <f>27000+28500+1000+7000+2200+30000+250000+45000+1500+11000+150000+107000</f>
        <v>660200</v>
      </c>
      <c r="E26" s="210">
        <f>108000+30000+20000+18000+2800+20000+200000+10000+63000+22000+100000+194000</f>
        <v>787800</v>
      </c>
      <c r="F26" s="210">
        <f>96000+32000+5000+14000+1300+18000+3000+39000+100000+87000+40000+40000+92000</f>
        <v>567300</v>
      </c>
    </row>
    <row r="27" spans="1:6" s="180" customFormat="1" ht="12" x14ac:dyDescent="0.2">
      <c r="A27" s="173" t="s">
        <v>546</v>
      </c>
      <c r="B27" s="210">
        <v>33487.64</v>
      </c>
      <c r="C27" s="210">
        <v>20000</v>
      </c>
      <c r="D27" s="210">
        <v>9000</v>
      </c>
      <c r="E27" s="210"/>
      <c r="F27" s="210"/>
    </row>
    <row r="28" spans="1:6" s="180" customFormat="1" ht="12" x14ac:dyDescent="0.2">
      <c r="A28" s="173" t="s">
        <v>545</v>
      </c>
      <c r="B28" s="210">
        <v>20919.93</v>
      </c>
      <c r="C28" s="210">
        <v>18500</v>
      </c>
      <c r="D28" s="210">
        <f>20000</f>
        <v>20000</v>
      </c>
      <c r="E28" s="210">
        <f>23000</f>
        <v>23000</v>
      </c>
      <c r="F28" s="210">
        <f>23000</f>
        <v>23000</v>
      </c>
    </row>
    <row r="29" spans="1:6" s="180" customFormat="1" ht="24" x14ac:dyDescent="0.2">
      <c r="A29" s="173" t="s">
        <v>548</v>
      </c>
      <c r="B29" s="210">
        <v>14247.13</v>
      </c>
      <c r="C29" s="210">
        <v>15700</v>
      </c>
      <c r="D29" s="210">
        <f>18300</f>
        <v>18300</v>
      </c>
      <c r="E29" s="210">
        <v>20400</v>
      </c>
      <c r="F29" s="210">
        <v>20400</v>
      </c>
    </row>
    <row r="30" spans="1:6" s="180" customFormat="1" ht="15.75" customHeight="1" x14ac:dyDescent="0.2">
      <c r="A30" s="171" t="s">
        <v>55</v>
      </c>
      <c r="B30" s="210">
        <f>B31</f>
        <v>0</v>
      </c>
      <c r="C30" s="210">
        <f t="shared" ref="C30:F30" si="11">C31</f>
        <v>11000</v>
      </c>
      <c r="D30" s="210">
        <f t="shared" si="11"/>
        <v>11000</v>
      </c>
      <c r="E30" s="210">
        <f t="shared" si="11"/>
        <v>14000</v>
      </c>
      <c r="F30" s="210">
        <f t="shared" si="11"/>
        <v>11000</v>
      </c>
    </row>
    <row r="31" spans="1:6" s="180" customFormat="1" ht="12" x14ac:dyDescent="0.2">
      <c r="A31" s="173" t="s">
        <v>557</v>
      </c>
      <c r="B31" s="210"/>
      <c r="C31" s="210">
        <v>11000</v>
      </c>
      <c r="D31" s="210">
        <v>11000</v>
      </c>
      <c r="E31" s="210">
        <v>14000</v>
      </c>
      <c r="F31" s="210">
        <v>11000</v>
      </c>
    </row>
    <row r="32" spans="1:6" s="180" customFormat="1" ht="15.75" customHeight="1" x14ac:dyDescent="0.2">
      <c r="A32" s="171" t="s">
        <v>56</v>
      </c>
      <c r="B32" s="210">
        <f>B33+B34+B35+B36</f>
        <v>69838</v>
      </c>
      <c r="C32" s="210">
        <f t="shared" ref="C32" si="12">C33+C34+C35+C36</f>
        <v>79000</v>
      </c>
      <c r="D32" s="210">
        <f>D33+D34+D35+D36</f>
        <v>312000</v>
      </c>
      <c r="E32" s="210">
        <f t="shared" ref="E32:F32" si="13">E33+E34+E35+E36</f>
        <v>107000</v>
      </c>
      <c r="F32" s="210">
        <f t="shared" si="13"/>
        <v>187000</v>
      </c>
    </row>
    <row r="33" spans="1:6" s="180" customFormat="1" ht="12" x14ac:dyDescent="0.2">
      <c r="A33" s="173" t="s">
        <v>551</v>
      </c>
      <c r="B33" s="210">
        <v>55000</v>
      </c>
      <c r="C33" s="210">
        <v>57000</v>
      </c>
      <c r="D33" s="210">
        <f>63000+75000+150000</f>
        <v>288000</v>
      </c>
      <c r="E33" s="210">
        <v>63000</v>
      </c>
      <c r="F33" s="210">
        <f>63000+100000</f>
        <v>163000</v>
      </c>
    </row>
    <row r="34" spans="1:6" s="180" customFormat="1" ht="12" x14ac:dyDescent="0.2">
      <c r="A34" s="173" t="s">
        <v>552</v>
      </c>
      <c r="B34" s="210">
        <v>4000</v>
      </c>
      <c r="C34" s="210">
        <v>5000</v>
      </c>
      <c r="D34" s="210">
        <v>6000</v>
      </c>
      <c r="E34" s="210">
        <v>6000</v>
      </c>
      <c r="F34" s="210">
        <v>6000</v>
      </c>
    </row>
    <row r="35" spans="1:6" s="180" customFormat="1" ht="12" x14ac:dyDescent="0.2">
      <c r="A35" s="173" t="s">
        <v>553</v>
      </c>
      <c r="B35" s="210">
        <v>1800</v>
      </c>
      <c r="C35" s="210">
        <v>5000</v>
      </c>
      <c r="D35" s="210">
        <v>5000</v>
      </c>
      <c r="E35" s="210">
        <v>25000</v>
      </c>
      <c r="F35" s="210">
        <v>5000</v>
      </c>
    </row>
    <row r="36" spans="1:6" s="180" customFormat="1" ht="24" x14ac:dyDescent="0.2">
      <c r="A36" s="173" t="s">
        <v>558</v>
      </c>
      <c r="B36" s="210">
        <v>9038</v>
      </c>
      <c r="C36" s="210">
        <v>12000</v>
      </c>
      <c r="D36" s="210">
        <v>13000</v>
      </c>
      <c r="E36" s="210">
        <v>13000</v>
      </c>
      <c r="F36" s="210">
        <v>13000</v>
      </c>
    </row>
    <row r="37" spans="1:6" s="180" customFormat="1" ht="15.75" customHeight="1" x14ac:dyDescent="0.2">
      <c r="A37" s="171" t="s">
        <v>57</v>
      </c>
      <c r="B37" s="210">
        <f>B38+B40+B41+B39</f>
        <v>288713.04000000004</v>
      </c>
      <c r="C37" s="210">
        <f t="shared" ref="C37" si="14">C38+C40+C41+C39</f>
        <v>370766</v>
      </c>
      <c r="D37" s="210">
        <f>D38+D40+D41+D39</f>
        <v>446252.2</v>
      </c>
      <c r="E37" s="210">
        <f t="shared" ref="E37:F37" si="15">E38+E40+E41+E39</f>
        <v>428000</v>
      </c>
      <c r="F37" s="210">
        <f t="shared" si="15"/>
        <v>430000</v>
      </c>
    </row>
    <row r="38" spans="1:6" s="180" customFormat="1" ht="12" x14ac:dyDescent="0.2">
      <c r="A38" s="173" t="s">
        <v>58</v>
      </c>
      <c r="B38" s="210">
        <v>258353.17</v>
      </c>
      <c r="C38" s="210">
        <v>345966</v>
      </c>
      <c r="D38" s="210">
        <v>397967.2</v>
      </c>
      <c r="E38" s="210">
        <v>404000</v>
      </c>
      <c r="F38" s="210">
        <v>407000</v>
      </c>
    </row>
    <row r="39" spans="1:6" s="180" customFormat="1" ht="12" x14ac:dyDescent="0.2">
      <c r="A39" s="183" t="s">
        <v>59</v>
      </c>
      <c r="B39" s="210">
        <v>21819.87</v>
      </c>
      <c r="C39" s="210">
        <v>11800</v>
      </c>
      <c r="D39" s="210">
        <f>31285+4000</f>
        <v>35285</v>
      </c>
      <c r="E39" s="210">
        <f>6000+5000</f>
        <v>11000</v>
      </c>
      <c r="F39" s="210">
        <f>6000+4000</f>
        <v>10000</v>
      </c>
    </row>
    <row r="40" spans="1:6" s="180" customFormat="1" ht="12" x14ac:dyDescent="0.2">
      <c r="A40" s="173" t="s">
        <v>60</v>
      </c>
      <c r="B40" s="210">
        <v>2240</v>
      </c>
      <c r="C40" s="210">
        <v>3000</v>
      </c>
      <c r="D40" s="210">
        <v>3000</v>
      </c>
      <c r="E40" s="210">
        <v>3000</v>
      </c>
      <c r="F40" s="210">
        <v>3000</v>
      </c>
    </row>
    <row r="41" spans="1:6" s="180" customFormat="1" ht="12" x14ac:dyDescent="0.2">
      <c r="A41" s="173" t="s">
        <v>61</v>
      </c>
      <c r="B41" s="210">
        <v>6300</v>
      </c>
      <c r="C41" s="210">
        <v>10000</v>
      </c>
      <c r="D41" s="210">
        <v>10000</v>
      </c>
      <c r="E41" s="210">
        <v>10000</v>
      </c>
      <c r="F41" s="210">
        <v>10000</v>
      </c>
    </row>
    <row r="42" spans="1:6" s="180" customFormat="1" ht="16.5" customHeight="1" x14ac:dyDescent="0.2">
      <c r="A42" s="171" t="s">
        <v>62</v>
      </c>
      <c r="B42" s="210">
        <f>B43+B44+B45+B46+B47</f>
        <v>118329.71</v>
      </c>
      <c r="C42" s="210">
        <f t="shared" ref="C42" si="16">C43+C44+C45+C46+C47</f>
        <v>172076</v>
      </c>
      <c r="D42" s="210">
        <f>D43+D44+D45+D46+D47</f>
        <v>223359</v>
      </c>
      <c r="E42" s="210">
        <f t="shared" ref="E42:F42" si="17">E43+E44+E45+E46+E47</f>
        <v>147090</v>
      </c>
      <c r="F42" s="210">
        <f t="shared" si="17"/>
        <v>123840</v>
      </c>
    </row>
    <row r="43" spans="1:6" s="180" customFormat="1" ht="12" x14ac:dyDescent="0.2">
      <c r="A43" s="173" t="s">
        <v>555</v>
      </c>
      <c r="B43" s="210">
        <v>44787.89</v>
      </c>
      <c r="C43" s="210">
        <v>106185</v>
      </c>
      <c r="D43" s="210">
        <v>114740</v>
      </c>
      <c r="E43" s="210">
        <v>26750</v>
      </c>
      <c r="F43" s="210"/>
    </row>
    <row r="44" spans="1:6" s="180" customFormat="1" ht="12" x14ac:dyDescent="0.2">
      <c r="A44" s="173" t="s">
        <v>554</v>
      </c>
      <c r="B44" s="210">
        <v>65550.22</v>
      </c>
      <c r="C44" s="210">
        <v>56890</v>
      </c>
      <c r="D44" s="210">
        <f>88800+2500</f>
        <v>91300</v>
      </c>
      <c r="E44" s="210">
        <f>100000+3000</f>
        <v>103000</v>
      </c>
      <c r="F44" s="210">
        <f>104000+2500</f>
        <v>106500</v>
      </c>
    </row>
    <row r="45" spans="1:6" s="180" customFormat="1" ht="12" x14ac:dyDescent="0.2">
      <c r="A45" s="173" t="s">
        <v>541</v>
      </c>
      <c r="B45" s="210">
        <v>5991.6</v>
      </c>
      <c r="C45" s="210">
        <v>6901</v>
      </c>
      <c r="D45" s="210">
        <f>14919</f>
        <v>14919</v>
      </c>
      <c r="E45" s="210">
        <f>14940</f>
        <v>14940</v>
      </c>
      <c r="F45" s="210">
        <f>14940</f>
        <v>14940</v>
      </c>
    </row>
    <row r="46" spans="1:6" s="180" customFormat="1" ht="27" customHeight="1" x14ac:dyDescent="0.2">
      <c r="A46" s="184" t="s">
        <v>556</v>
      </c>
      <c r="B46" s="210">
        <v>2000</v>
      </c>
      <c r="C46" s="210">
        <v>2100</v>
      </c>
      <c r="D46" s="210"/>
      <c r="E46" s="210"/>
      <c r="F46" s="210"/>
    </row>
    <row r="47" spans="1:6" s="180" customFormat="1" ht="24" x14ac:dyDescent="0.2">
      <c r="A47" s="184" t="s">
        <v>579</v>
      </c>
      <c r="B47" s="210"/>
      <c r="C47" s="182"/>
      <c r="D47" s="210">
        <v>2400</v>
      </c>
      <c r="E47" s="210">
        <v>2400</v>
      </c>
      <c r="F47" s="210">
        <v>2400</v>
      </c>
    </row>
    <row r="48" spans="1:6" s="180" customFormat="1" ht="12" x14ac:dyDescent="0.2">
      <c r="A48" s="178"/>
      <c r="B48" s="185"/>
      <c r="C48" s="185"/>
      <c r="D48" s="186"/>
      <c r="E48" s="185"/>
      <c r="F48" s="185"/>
    </row>
  </sheetData>
  <mergeCells count="2">
    <mergeCell ref="A2:F2"/>
    <mergeCell ref="A5:H5"/>
  </mergeCells>
  <pageMargins left="1.299212598425197" right="0.31496062992125984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topLeftCell="A4" workbookViewId="0">
      <selection activeCell="J29" sqref="J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35.7109375" customWidth="1"/>
    <col min="6" max="10" width="15.7109375" customWidth="1"/>
  </cols>
  <sheetData>
    <row r="1" spans="2:10" s="113" customFormat="1" ht="14.25" customHeight="1" x14ac:dyDescent="0.2">
      <c r="B1" s="435" t="s">
        <v>494</v>
      </c>
      <c r="C1" s="435"/>
      <c r="D1" s="435"/>
      <c r="E1" s="435"/>
      <c r="F1" s="435"/>
      <c r="G1" s="435"/>
      <c r="H1" s="435"/>
      <c r="I1" s="435"/>
      <c r="J1" s="435"/>
    </row>
    <row r="2" spans="2:10" s="113" customFormat="1" ht="14.25" customHeight="1" x14ac:dyDescent="0.2">
      <c r="B2" s="200"/>
      <c r="C2" s="200"/>
      <c r="D2" s="200"/>
      <c r="E2" s="200"/>
      <c r="F2" s="200"/>
      <c r="G2" s="200"/>
      <c r="H2" s="200"/>
      <c r="I2" s="200"/>
      <c r="J2" s="200"/>
    </row>
    <row r="3" spans="2:10" s="114" customFormat="1" ht="17.25" customHeight="1" x14ac:dyDescent="0.2">
      <c r="B3" s="114" t="s">
        <v>715</v>
      </c>
      <c r="H3" s="192"/>
      <c r="I3" s="192"/>
      <c r="J3" s="192"/>
    </row>
    <row r="4" spans="2:10" s="113" customFormat="1" ht="14.25" customHeight="1" x14ac:dyDescent="0.2">
      <c r="B4" s="200"/>
      <c r="C4" s="200"/>
      <c r="D4" s="200"/>
      <c r="E4" s="200"/>
      <c r="F4" s="200"/>
      <c r="G4" s="200"/>
      <c r="H4" s="200"/>
      <c r="I4" s="200"/>
      <c r="J4" s="200"/>
    </row>
    <row r="5" spans="2:10" ht="15.75" x14ac:dyDescent="0.25">
      <c r="B5" s="429" t="s">
        <v>29</v>
      </c>
      <c r="C5" s="429"/>
      <c r="D5" s="429"/>
      <c r="E5" s="429"/>
      <c r="F5" s="429"/>
      <c r="G5" s="429"/>
      <c r="H5" s="429"/>
      <c r="I5" s="430"/>
      <c r="J5" s="430"/>
    </row>
    <row r="6" spans="2:10" ht="18" x14ac:dyDescent="0.25">
      <c r="B6" s="5"/>
      <c r="C6" s="5"/>
      <c r="D6" s="5"/>
      <c r="E6" s="5"/>
      <c r="F6" s="5"/>
      <c r="G6" s="5"/>
      <c r="H6" s="5"/>
      <c r="I6" s="6"/>
      <c r="J6" s="6"/>
    </row>
    <row r="7" spans="2:10" ht="18" customHeight="1" x14ac:dyDescent="0.25">
      <c r="B7" s="429" t="s">
        <v>331</v>
      </c>
      <c r="C7" s="443"/>
      <c r="D7" s="443"/>
      <c r="E7" s="443"/>
      <c r="F7" s="443"/>
      <c r="G7" s="443"/>
      <c r="H7" s="443"/>
      <c r="I7" s="443"/>
      <c r="J7" s="443"/>
    </row>
    <row r="8" spans="2:10" ht="18" x14ac:dyDescent="0.25">
      <c r="B8" s="5"/>
      <c r="C8" s="5"/>
      <c r="D8" s="5"/>
      <c r="E8" s="5"/>
      <c r="F8" s="5"/>
      <c r="G8" s="5"/>
      <c r="H8" s="5"/>
      <c r="I8" s="6"/>
      <c r="J8" s="6"/>
    </row>
    <row r="9" spans="2:10" ht="38.25" x14ac:dyDescent="0.25">
      <c r="B9" s="17" t="s">
        <v>11</v>
      </c>
      <c r="C9" s="16" t="s">
        <v>12</v>
      </c>
      <c r="D9" s="16" t="s">
        <v>13</v>
      </c>
      <c r="E9" s="16" t="s">
        <v>41</v>
      </c>
      <c r="F9" s="16" t="s">
        <v>728</v>
      </c>
      <c r="G9" s="334" t="s">
        <v>733</v>
      </c>
      <c r="H9" s="334" t="s">
        <v>730</v>
      </c>
      <c r="I9" s="334" t="s">
        <v>563</v>
      </c>
      <c r="J9" s="334" t="s">
        <v>731</v>
      </c>
    </row>
    <row r="10" spans="2:10" s="180" customFormat="1" ht="23.25" customHeight="1" x14ac:dyDescent="0.2">
      <c r="B10" s="392">
        <v>8</v>
      </c>
      <c r="C10" s="392"/>
      <c r="D10" s="392"/>
      <c r="E10" s="392" t="s">
        <v>26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</row>
    <row r="11" spans="2:10" s="180" customFormat="1" ht="12.6" customHeight="1" x14ac:dyDescent="0.2">
      <c r="B11" s="392"/>
      <c r="C11" s="393">
        <v>84</v>
      </c>
      <c r="D11" s="393"/>
      <c r="E11" s="393" t="s">
        <v>33</v>
      </c>
      <c r="F11" s="174"/>
      <c r="G11" s="394"/>
      <c r="H11" s="394"/>
      <c r="I11" s="394"/>
      <c r="J11" s="394"/>
    </row>
    <row r="12" spans="2:10" s="180" customFormat="1" ht="12.6" customHeight="1" x14ac:dyDescent="0.2">
      <c r="B12" s="395"/>
      <c r="C12" s="395"/>
      <c r="D12" s="396">
        <v>81</v>
      </c>
      <c r="E12" s="397" t="s">
        <v>34</v>
      </c>
      <c r="F12" s="174"/>
      <c r="G12" s="394"/>
      <c r="H12" s="394"/>
      <c r="I12" s="394"/>
      <c r="J12" s="394"/>
    </row>
    <row r="13" spans="2:10" s="180" customFormat="1" ht="24.75" customHeight="1" x14ac:dyDescent="0.2">
      <c r="B13" s="398">
        <v>5</v>
      </c>
      <c r="C13" s="398"/>
      <c r="D13" s="398"/>
      <c r="E13" s="399" t="s">
        <v>27</v>
      </c>
      <c r="F13" s="174">
        <v>0</v>
      </c>
      <c r="G13" s="174">
        <v>0</v>
      </c>
      <c r="H13" s="174">
        <v>0</v>
      </c>
      <c r="I13" s="174">
        <v>0</v>
      </c>
      <c r="J13" s="174">
        <v>0</v>
      </c>
    </row>
    <row r="14" spans="2:10" s="180" customFormat="1" ht="24" customHeight="1" x14ac:dyDescent="0.2">
      <c r="B14" s="393"/>
      <c r="C14" s="393">
        <v>54</v>
      </c>
      <c r="D14" s="393"/>
      <c r="E14" s="400" t="s">
        <v>35</v>
      </c>
      <c r="F14" s="174"/>
      <c r="G14" s="394"/>
      <c r="H14" s="394"/>
      <c r="I14" s="394"/>
      <c r="J14" s="401"/>
    </row>
    <row r="15" spans="2:10" s="180" customFormat="1" ht="12.6" customHeight="1" x14ac:dyDescent="0.2">
      <c r="B15" s="393"/>
      <c r="C15" s="393"/>
      <c r="D15" s="402" t="s">
        <v>102</v>
      </c>
      <c r="E15" s="403" t="s">
        <v>16</v>
      </c>
      <c r="F15" s="174"/>
      <c r="G15" s="394"/>
      <c r="H15" s="394"/>
      <c r="I15" s="394"/>
      <c r="J15" s="401"/>
    </row>
    <row r="16" spans="2:10" s="180" customFormat="1" ht="12.6" customHeight="1" x14ac:dyDescent="0.2">
      <c r="B16" s="393"/>
      <c r="C16" s="393"/>
      <c r="D16" s="396">
        <v>31</v>
      </c>
      <c r="E16" s="396" t="s">
        <v>36</v>
      </c>
      <c r="F16" s="174"/>
      <c r="G16" s="394"/>
      <c r="H16" s="394"/>
      <c r="I16" s="394"/>
      <c r="J16" s="401"/>
    </row>
    <row r="18" spans="2:10" s="113" customFormat="1" ht="14.25" customHeight="1" x14ac:dyDescent="0.2">
      <c r="B18" s="435" t="s">
        <v>583</v>
      </c>
      <c r="C18" s="435"/>
      <c r="D18" s="435"/>
      <c r="E18" s="435"/>
      <c r="F18" s="435"/>
      <c r="G18" s="435"/>
      <c r="H18" s="435"/>
      <c r="I18" s="435"/>
      <c r="J18" s="435"/>
    </row>
    <row r="20" spans="2:10" s="114" customFormat="1" ht="17.25" customHeight="1" x14ac:dyDescent="0.2">
      <c r="B20" s="449" t="s">
        <v>716</v>
      </c>
      <c r="C20" s="449"/>
      <c r="D20" s="449"/>
      <c r="E20" s="449"/>
      <c r="F20" s="449"/>
      <c r="G20" s="449"/>
      <c r="H20" s="192"/>
      <c r="I20" s="192"/>
      <c r="J20" s="192"/>
    </row>
    <row r="22" spans="2:10" ht="18" customHeight="1" x14ac:dyDescent="0.25">
      <c r="B22" s="429" t="s">
        <v>332</v>
      </c>
      <c r="C22" s="443"/>
      <c r="D22" s="443"/>
      <c r="E22" s="443"/>
      <c r="F22" s="443"/>
      <c r="G22" s="443"/>
      <c r="H22" s="443"/>
      <c r="I22" s="443"/>
      <c r="J22" s="443"/>
    </row>
    <row r="23" spans="2:10" ht="18" x14ac:dyDescent="0.25">
      <c r="B23" s="5"/>
      <c r="C23" s="5"/>
      <c r="D23" s="5"/>
      <c r="E23" s="5"/>
      <c r="F23" s="5"/>
      <c r="G23" s="5"/>
      <c r="H23" s="5"/>
      <c r="I23" s="6"/>
      <c r="J23" s="6"/>
    </row>
    <row r="24" spans="2:10" ht="38.25" x14ac:dyDescent="0.25">
      <c r="B24" s="17" t="s">
        <v>11</v>
      </c>
      <c r="C24" s="16" t="s">
        <v>12</v>
      </c>
      <c r="D24" s="16" t="s">
        <v>13</v>
      </c>
      <c r="E24" s="16" t="s">
        <v>41</v>
      </c>
      <c r="F24" s="16" t="s">
        <v>728</v>
      </c>
      <c r="G24" s="334" t="s">
        <v>733</v>
      </c>
      <c r="H24" s="334" t="s">
        <v>730</v>
      </c>
      <c r="I24" s="334" t="s">
        <v>563</v>
      </c>
      <c r="J24" s="334" t="s">
        <v>731</v>
      </c>
    </row>
    <row r="25" spans="2:10" s="180" customFormat="1" ht="23.25" customHeight="1" x14ac:dyDescent="0.2">
      <c r="B25" s="392">
        <v>8</v>
      </c>
      <c r="C25" s="392"/>
      <c r="D25" s="392"/>
      <c r="E25" s="392" t="s">
        <v>26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</row>
    <row r="26" spans="2:10" s="180" customFormat="1" ht="12.6" customHeight="1" x14ac:dyDescent="0.2">
      <c r="B26" s="392"/>
      <c r="C26" s="393">
        <v>84</v>
      </c>
      <c r="D26" s="393"/>
      <c r="E26" s="393" t="s">
        <v>33</v>
      </c>
      <c r="F26" s="174"/>
      <c r="G26" s="394"/>
      <c r="H26" s="394"/>
      <c r="I26" s="394"/>
      <c r="J26" s="394"/>
    </row>
    <row r="27" spans="2:10" s="180" customFormat="1" ht="12.6" customHeight="1" x14ac:dyDescent="0.2">
      <c r="B27" s="395"/>
      <c r="C27" s="395"/>
      <c r="D27" s="396">
        <v>81</v>
      </c>
      <c r="E27" s="397" t="s">
        <v>34</v>
      </c>
      <c r="F27" s="174"/>
      <c r="G27" s="394"/>
      <c r="H27" s="394"/>
      <c r="I27" s="394"/>
      <c r="J27" s="394"/>
    </row>
    <row r="28" spans="2:10" s="180" customFormat="1" ht="24" customHeight="1" x14ac:dyDescent="0.2">
      <c r="B28" s="398">
        <v>5</v>
      </c>
      <c r="C28" s="398"/>
      <c r="D28" s="398"/>
      <c r="E28" s="399" t="s">
        <v>27</v>
      </c>
      <c r="F28" s="174">
        <v>0</v>
      </c>
      <c r="G28" s="174">
        <v>0</v>
      </c>
      <c r="H28" s="174">
        <v>0</v>
      </c>
      <c r="I28" s="174">
        <v>0</v>
      </c>
      <c r="J28" s="174">
        <v>0</v>
      </c>
    </row>
    <row r="29" spans="2:10" s="180" customFormat="1" ht="24.75" customHeight="1" x14ac:dyDescent="0.2">
      <c r="B29" s="393"/>
      <c r="C29" s="393">
        <v>54</v>
      </c>
      <c r="D29" s="393"/>
      <c r="E29" s="400" t="s">
        <v>35</v>
      </c>
      <c r="F29" s="174"/>
      <c r="G29" s="394"/>
      <c r="H29" s="394"/>
      <c r="I29" s="394"/>
      <c r="J29" s="401"/>
    </row>
    <row r="30" spans="2:10" s="180" customFormat="1" ht="12.6" customHeight="1" x14ac:dyDescent="0.2">
      <c r="B30" s="393"/>
      <c r="C30" s="393"/>
      <c r="D30" s="402" t="s">
        <v>102</v>
      </c>
      <c r="E30" s="403" t="s">
        <v>16</v>
      </c>
      <c r="F30" s="174"/>
      <c r="G30" s="394"/>
      <c r="H30" s="394"/>
      <c r="I30" s="394"/>
      <c r="J30" s="401"/>
    </row>
    <row r="31" spans="2:10" s="180" customFormat="1" ht="12.6" customHeight="1" x14ac:dyDescent="0.2">
      <c r="B31" s="393"/>
      <c r="C31" s="393"/>
      <c r="D31" s="396">
        <v>31</v>
      </c>
      <c r="E31" s="396" t="s">
        <v>36</v>
      </c>
      <c r="F31" s="174"/>
      <c r="G31" s="394"/>
      <c r="H31" s="394"/>
      <c r="I31" s="394"/>
      <c r="J31" s="401"/>
    </row>
  </sheetData>
  <mergeCells count="6">
    <mergeCell ref="B22:J22"/>
    <mergeCell ref="B1:J1"/>
    <mergeCell ref="B20:G20"/>
    <mergeCell ref="B18:J18"/>
    <mergeCell ref="B5:J5"/>
    <mergeCell ref="B7:J7"/>
  </mergeCells>
  <pageMargins left="0.74803149606299213" right="0.74803149606299213" top="0.55118110236220474" bottom="0.55118110236220474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D1FA-7EF8-45CE-A253-6D1F15D7B2CB}">
  <dimension ref="A1:L16"/>
  <sheetViews>
    <sheetView workbookViewId="0">
      <selection activeCell="G22" sqref="G22"/>
    </sheetView>
  </sheetViews>
  <sheetFormatPr defaultRowHeight="15" x14ac:dyDescent="0.25"/>
  <cols>
    <col min="3" max="4" width="9.7109375" customWidth="1"/>
    <col min="5" max="5" width="19.140625" customWidth="1"/>
    <col min="6" max="6" width="9.7109375" customWidth="1"/>
    <col min="7" max="7" width="13.5703125" customWidth="1"/>
    <col min="8" max="8" width="9.7109375" customWidth="1"/>
    <col min="9" max="9" width="13.7109375" customWidth="1"/>
    <col min="10" max="10" width="9.7109375" customWidth="1"/>
    <col min="11" max="11" width="13.7109375" customWidth="1"/>
    <col min="12" max="12" width="9.7109375" customWidth="1"/>
  </cols>
  <sheetData>
    <row r="1" spans="1:12" s="113" customFormat="1" ht="14.25" customHeight="1" x14ac:dyDescent="0.2">
      <c r="A1" s="435" t="s">
        <v>584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s="113" customFormat="1" ht="14.25" customHeight="1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s="113" customFormat="1" ht="14.25" customHeight="1" x14ac:dyDescent="0.2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s="113" customFormat="1" ht="18" customHeight="1" x14ac:dyDescent="0.2">
      <c r="A4" s="60" t="s">
        <v>717</v>
      </c>
      <c r="B4" s="60"/>
      <c r="C4" s="60"/>
      <c r="D4" s="60"/>
      <c r="E4" s="60"/>
      <c r="F4" s="60"/>
      <c r="G4" s="191"/>
      <c r="H4" s="191"/>
      <c r="I4" s="191"/>
      <c r="J4" s="191"/>
    </row>
    <row r="5" spans="1:12" s="113" customFormat="1" ht="18" customHeight="1" x14ac:dyDescent="0.2">
      <c r="A5" s="60"/>
      <c r="B5" s="60"/>
      <c r="C5" s="60"/>
      <c r="D5" s="60"/>
      <c r="E5" s="60"/>
      <c r="F5" s="60"/>
      <c r="G5" s="191"/>
      <c r="H5" s="191"/>
      <c r="I5" s="191"/>
      <c r="J5" s="191"/>
    </row>
    <row r="6" spans="1:12" s="113" customFormat="1" ht="18" customHeight="1" x14ac:dyDescent="0.2">
      <c r="A6" s="60"/>
      <c r="B6" s="60"/>
      <c r="C6" s="60"/>
      <c r="D6" s="60"/>
      <c r="E6" s="60"/>
      <c r="F6" s="60"/>
      <c r="G6" s="191"/>
      <c r="H6" s="191"/>
      <c r="I6" s="191"/>
      <c r="J6" s="191"/>
    </row>
    <row r="7" spans="1:12" ht="15.75" customHeight="1" x14ac:dyDescent="0.25">
      <c r="A7" s="429" t="s">
        <v>29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</row>
    <row r="8" spans="1:12" ht="18" x14ac:dyDescent="0.25">
      <c r="B8" s="5"/>
      <c r="C8" s="5"/>
      <c r="D8" s="5"/>
      <c r="E8" s="5"/>
      <c r="F8" s="5"/>
      <c r="G8" s="5"/>
      <c r="H8" s="5"/>
      <c r="I8" s="6"/>
      <c r="J8" s="6"/>
    </row>
    <row r="9" spans="1:12" ht="18" customHeight="1" x14ac:dyDescent="0.25">
      <c r="A9" s="429" t="s">
        <v>486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</row>
    <row r="10" spans="1:12" ht="18" customHeight="1" x14ac:dyDescent="0.25">
      <c r="B10" s="29"/>
      <c r="C10" s="127"/>
      <c r="D10" s="127"/>
      <c r="E10" s="127"/>
      <c r="F10" s="127"/>
      <c r="G10" s="127"/>
      <c r="H10" s="127"/>
      <c r="I10" s="127"/>
      <c r="J10" s="127"/>
    </row>
    <row r="11" spans="1:12" s="113" customFormat="1" ht="18" customHeight="1" x14ac:dyDescent="0.2">
      <c r="A11" s="60"/>
      <c r="B11" s="60"/>
      <c r="C11" s="60"/>
      <c r="D11" s="60"/>
      <c r="E11" s="60"/>
      <c r="F11" s="60"/>
      <c r="G11" s="191"/>
      <c r="H11" s="191"/>
      <c r="I11" s="191"/>
      <c r="J11" s="191"/>
    </row>
    <row r="12" spans="1:12" x14ac:dyDescent="0.25">
      <c r="K12" t="s">
        <v>318</v>
      </c>
    </row>
    <row r="13" spans="1:12" s="114" customFormat="1" ht="12.75" x14ac:dyDescent="0.2">
      <c r="B13" s="404" t="s">
        <v>487</v>
      </c>
      <c r="C13" s="405"/>
      <c r="D13" s="405"/>
      <c r="E13" s="406"/>
      <c r="F13" s="461" t="s">
        <v>488</v>
      </c>
      <c r="G13" s="462"/>
      <c r="H13" s="461" t="s">
        <v>580</v>
      </c>
      <c r="I13" s="462"/>
      <c r="J13" s="461" t="s">
        <v>729</v>
      </c>
      <c r="K13" s="463"/>
    </row>
    <row r="14" spans="1:12" s="114" customFormat="1" ht="14.25" customHeight="1" x14ac:dyDescent="0.2">
      <c r="B14" s="407" t="s">
        <v>497</v>
      </c>
      <c r="C14" s="408"/>
      <c r="D14" s="408"/>
      <c r="E14" s="409"/>
      <c r="F14" s="410"/>
      <c r="G14" s="411"/>
      <c r="H14" s="410"/>
      <c r="I14" s="411"/>
      <c r="J14" s="410"/>
      <c r="K14" s="412"/>
    </row>
    <row r="15" spans="1:12" s="413" customFormat="1" ht="28.5" customHeight="1" x14ac:dyDescent="0.2">
      <c r="B15" s="414">
        <v>9</v>
      </c>
      <c r="C15" s="415" t="s">
        <v>489</v>
      </c>
      <c r="D15" s="416"/>
      <c r="E15" s="417"/>
      <c r="F15" s="464">
        <f>F16</f>
        <v>140000</v>
      </c>
      <c r="G15" s="464"/>
      <c r="H15" s="464">
        <f t="shared" ref="H15" si="0">H16</f>
        <v>0</v>
      </c>
      <c r="I15" s="464"/>
      <c r="J15" s="464">
        <f t="shared" ref="J15" si="1">J16</f>
        <v>0</v>
      </c>
      <c r="K15" s="464"/>
    </row>
    <row r="16" spans="1:12" s="170" customFormat="1" ht="27" customHeight="1" x14ac:dyDescent="0.2">
      <c r="B16" s="418">
        <v>92</v>
      </c>
      <c r="C16" s="419" t="s">
        <v>490</v>
      </c>
      <c r="D16" s="420"/>
      <c r="E16" s="421"/>
      <c r="F16" s="460">
        <v>140000</v>
      </c>
      <c r="G16" s="460"/>
      <c r="H16" s="460"/>
      <c r="I16" s="460"/>
      <c r="J16" s="460"/>
      <c r="K16" s="460"/>
    </row>
  </sheetData>
  <mergeCells count="12">
    <mergeCell ref="A1:L1"/>
    <mergeCell ref="H16:I16"/>
    <mergeCell ref="J16:K16"/>
    <mergeCell ref="A7:L7"/>
    <mergeCell ref="A9:L9"/>
    <mergeCell ref="F13:G13"/>
    <mergeCell ref="H13:I13"/>
    <mergeCell ref="J13:K13"/>
    <mergeCell ref="F15:G15"/>
    <mergeCell ref="H15:I15"/>
    <mergeCell ref="J15:K15"/>
    <mergeCell ref="F16:G16"/>
  </mergeCells>
  <pageMargins left="1.299212598425197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72"/>
  <sheetViews>
    <sheetView topLeftCell="A440" zoomScale="110" zoomScaleNormal="110" workbookViewId="0">
      <selection activeCell="L284" sqref="L284"/>
    </sheetView>
  </sheetViews>
  <sheetFormatPr defaultRowHeight="15" x14ac:dyDescent="0.25"/>
  <cols>
    <col min="1" max="1" width="3.7109375" customWidth="1"/>
    <col min="2" max="2" width="8.42578125" customWidth="1"/>
    <col min="3" max="3" width="8.7109375" customWidth="1"/>
    <col min="4" max="4" width="30.42578125" customWidth="1"/>
    <col min="5" max="5" width="17" customWidth="1"/>
    <col min="6" max="7" width="15.140625" customWidth="1"/>
  </cols>
  <sheetData>
    <row r="2" spans="1:7" ht="18" customHeight="1" x14ac:dyDescent="0.25">
      <c r="A2" s="429" t="s">
        <v>28</v>
      </c>
      <c r="B2" s="443"/>
      <c r="C2" s="443"/>
      <c r="D2" s="443"/>
      <c r="E2" s="443"/>
      <c r="F2" s="443"/>
      <c r="G2" s="443"/>
    </row>
    <row r="3" spans="1:7" ht="18" customHeight="1" x14ac:dyDescent="0.25">
      <c r="A3" s="29"/>
      <c r="B3" s="127"/>
      <c r="C3" s="127"/>
      <c r="D3" s="127"/>
      <c r="E3" s="127"/>
      <c r="F3" s="127"/>
      <c r="G3" s="127"/>
    </row>
    <row r="4" spans="1:7" ht="18" customHeight="1" x14ac:dyDescent="0.25">
      <c r="A4" s="435" t="s">
        <v>585</v>
      </c>
      <c r="B4" s="435"/>
      <c r="C4" s="435"/>
      <c r="D4" s="435"/>
      <c r="E4" s="435"/>
      <c r="F4" s="435"/>
      <c r="G4" s="435"/>
    </row>
    <row r="5" spans="1:7" s="60" customFormat="1" ht="18" customHeight="1" x14ac:dyDescent="0.2">
      <c r="A5" s="541" t="s">
        <v>919</v>
      </c>
      <c r="B5" s="541"/>
      <c r="C5" s="541"/>
      <c r="D5" s="541"/>
      <c r="E5" s="541"/>
      <c r="F5" s="541"/>
      <c r="G5" s="541"/>
    </row>
    <row r="6" spans="1:7" ht="18" customHeight="1" x14ac:dyDescent="0.25">
      <c r="A6" s="540" t="s">
        <v>492</v>
      </c>
      <c r="B6" s="540"/>
      <c r="C6" s="540"/>
      <c r="D6" s="540"/>
      <c r="E6" s="540"/>
      <c r="F6" s="540"/>
      <c r="G6" s="540"/>
    </row>
    <row r="7" spans="1:7" ht="18" customHeight="1" x14ac:dyDescent="0.25">
      <c r="B7" s="127"/>
      <c r="C7" s="127"/>
      <c r="D7" s="127"/>
      <c r="E7" s="127"/>
      <c r="F7" s="545"/>
      <c r="G7" s="545"/>
    </row>
    <row r="8" spans="1:7" s="114" customFormat="1" ht="38.25" x14ac:dyDescent="0.2">
      <c r="A8" s="533" t="s">
        <v>30</v>
      </c>
      <c r="B8" s="534"/>
      <c r="C8" s="535"/>
      <c r="D8" s="16" t="s">
        <v>31</v>
      </c>
      <c r="E8" s="334" t="s">
        <v>730</v>
      </c>
      <c r="F8" s="334" t="s">
        <v>563</v>
      </c>
      <c r="G8" s="334" t="s">
        <v>731</v>
      </c>
    </row>
    <row r="9" spans="1:7" s="114" customFormat="1" ht="19.5" customHeight="1" x14ac:dyDescent="0.2">
      <c r="A9" s="542" t="s">
        <v>101</v>
      </c>
      <c r="B9" s="543"/>
      <c r="C9" s="543"/>
      <c r="D9" s="544"/>
      <c r="E9" s="166">
        <f>E10+E33</f>
        <v>2451361.2000000002</v>
      </c>
      <c r="F9" s="166">
        <f>F10+F33</f>
        <v>2473090</v>
      </c>
      <c r="G9" s="166">
        <f>G10+G33</f>
        <v>2538340</v>
      </c>
    </row>
    <row r="10" spans="1:7" s="114" customFormat="1" ht="15.75" customHeight="1" x14ac:dyDescent="0.2">
      <c r="A10" s="536" t="s">
        <v>63</v>
      </c>
      <c r="B10" s="536"/>
      <c r="C10" s="536"/>
      <c r="D10" s="536"/>
      <c r="E10" s="274">
        <f t="shared" ref="E10:G10" si="0">E11</f>
        <v>74570</v>
      </c>
      <c r="F10" s="274">
        <f>F11</f>
        <v>76600</v>
      </c>
      <c r="G10" s="274">
        <f t="shared" si="0"/>
        <v>79600</v>
      </c>
    </row>
    <row r="11" spans="1:7" s="114" customFormat="1" ht="15.75" customHeight="1" x14ac:dyDescent="0.2">
      <c r="A11" s="537" t="s">
        <v>64</v>
      </c>
      <c r="B11" s="538"/>
      <c r="C11" s="538"/>
      <c r="D11" s="539"/>
      <c r="E11" s="275">
        <f>E13</f>
        <v>74570</v>
      </c>
      <c r="F11" s="275">
        <f>F13</f>
        <v>76600</v>
      </c>
      <c r="G11" s="275">
        <f>G13</f>
        <v>79600</v>
      </c>
    </row>
    <row r="12" spans="1:7" s="114" customFormat="1" ht="15.75" customHeight="1" x14ac:dyDescent="0.2">
      <c r="A12" s="147" t="s">
        <v>867</v>
      </c>
      <c r="B12" s="148"/>
      <c r="C12" s="148"/>
      <c r="D12" s="324"/>
      <c r="E12" s="66">
        <f>E16+E23+E30</f>
        <v>74570</v>
      </c>
      <c r="F12" s="66">
        <f>F16+F23+F30</f>
        <v>76600</v>
      </c>
      <c r="G12" s="66">
        <f>G16+G23+G30</f>
        <v>79600</v>
      </c>
    </row>
    <row r="13" spans="1:7" s="114" customFormat="1" ht="15" customHeight="1" x14ac:dyDescent="0.2">
      <c r="A13" s="48" t="s">
        <v>359</v>
      </c>
      <c r="B13" s="48"/>
      <c r="C13" s="48"/>
      <c r="D13" s="48"/>
      <c r="E13" s="49">
        <f>E14+E28+E21</f>
        <v>74570</v>
      </c>
      <c r="F13" s="49">
        <f>F14+F28+F21</f>
        <v>76600</v>
      </c>
      <c r="G13" s="49">
        <f>G14+G28+G21</f>
        <v>79600</v>
      </c>
    </row>
    <row r="14" spans="1:7" s="114" customFormat="1" ht="12.75" customHeight="1" x14ac:dyDescent="0.2">
      <c r="A14" s="511" t="s">
        <v>705</v>
      </c>
      <c r="B14" s="512"/>
      <c r="C14" s="512"/>
      <c r="D14" s="513"/>
      <c r="E14" s="309">
        <f t="shared" ref="E14:G14" si="1">E17</f>
        <v>49850</v>
      </c>
      <c r="F14" s="309">
        <f t="shared" si="1"/>
        <v>50000</v>
      </c>
      <c r="G14" s="309">
        <f t="shared" si="1"/>
        <v>51000</v>
      </c>
    </row>
    <row r="15" spans="1:7" s="114" customFormat="1" ht="15" customHeight="1" x14ac:dyDescent="0.2">
      <c r="A15" s="276" t="s">
        <v>361</v>
      </c>
      <c r="B15" s="277"/>
      <c r="C15" s="277"/>
      <c r="D15" s="278"/>
      <c r="E15" s="279"/>
      <c r="F15" s="279"/>
      <c r="G15" s="279"/>
    </row>
    <row r="16" spans="1:7" s="114" customFormat="1" ht="15" customHeight="1" x14ac:dyDescent="0.2">
      <c r="A16" s="474" t="s">
        <v>866</v>
      </c>
      <c r="B16" s="475"/>
      <c r="C16" s="475"/>
      <c r="D16" s="475"/>
      <c r="E16" s="43">
        <f>E14</f>
        <v>49850</v>
      </c>
      <c r="F16" s="43">
        <f t="shared" ref="F16:G16" si="2">F14</f>
        <v>50000</v>
      </c>
      <c r="G16" s="43">
        <f t="shared" si="2"/>
        <v>51000</v>
      </c>
    </row>
    <row r="17" spans="1:7" s="114" customFormat="1" ht="12.75" x14ac:dyDescent="0.2">
      <c r="A17" s="476">
        <v>3</v>
      </c>
      <c r="B17" s="477"/>
      <c r="C17" s="478"/>
      <c r="D17" s="19" t="s">
        <v>18</v>
      </c>
      <c r="E17" s="373">
        <f t="shared" ref="E17:G17" si="3">E18+E19+E20</f>
        <v>49850</v>
      </c>
      <c r="F17" s="373">
        <f>F18+F19+F20</f>
        <v>50000</v>
      </c>
      <c r="G17" s="373">
        <f t="shared" si="3"/>
        <v>51000</v>
      </c>
    </row>
    <row r="18" spans="1:7" s="114" customFormat="1" ht="12.75" x14ac:dyDescent="0.2">
      <c r="A18" s="479">
        <v>31</v>
      </c>
      <c r="B18" s="480"/>
      <c r="C18" s="481"/>
      <c r="D18" s="19" t="s">
        <v>21</v>
      </c>
      <c r="E18" s="374">
        <f>40200+6650</f>
        <v>46850</v>
      </c>
      <c r="F18" s="374">
        <v>47000</v>
      </c>
      <c r="G18" s="383">
        <v>48000</v>
      </c>
    </row>
    <row r="19" spans="1:7" s="114" customFormat="1" ht="12.75" x14ac:dyDescent="0.2">
      <c r="A19" s="504">
        <v>32</v>
      </c>
      <c r="B19" s="505"/>
      <c r="C19" s="506"/>
      <c r="D19" s="19" t="s">
        <v>32</v>
      </c>
      <c r="E19" s="374">
        <f>1500+500</f>
        <v>2000</v>
      </c>
      <c r="F19" s="374">
        <v>2000</v>
      </c>
      <c r="G19" s="374">
        <v>2000</v>
      </c>
    </row>
    <row r="20" spans="1:7" s="114" customFormat="1" ht="12.75" x14ac:dyDescent="0.2">
      <c r="A20" s="504">
        <v>38</v>
      </c>
      <c r="B20" s="505"/>
      <c r="C20" s="506"/>
      <c r="D20" s="19" t="s">
        <v>49</v>
      </c>
      <c r="E20" s="374">
        <f>1000</f>
        <v>1000</v>
      </c>
      <c r="F20" s="374">
        <v>1000</v>
      </c>
      <c r="G20" s="374">
        <v>1000</v>
      </c>
    </row>
    <row r="21" spans="1:7" s="114" customFormat="1" ht="24.75" customHeight="1" x14ac:dyDescent="0.2">
      <c r="A21" s="497" t="s">
        <v>499</v>
      </c>
      <c r="B21" s="498"/>
      <c r="C21" s="498"/>
      <c r="D21" s="499"/>
      <c r="E21" s="309">
        <f>E24</f>
        <v>8520</v>
      </c>
      <c r="F21" s="309">
        <f t="shared" ref="F21:G21" si="4">F24</f>
        <v>8600</v>
      </c>
      <c r="G21" s="309">
        <f t="shared" si="4"/>
        <v>8600</v>
      </c>
    </row>
    <row r="22" spans="1:7" s="114" customFormat="1" ht="15" customHeight="1" x14ac:dyDescent="0.2">
      <c r="A22" s="276" t="s">
        <v>361</v>
      </c>
      <c r="B22" s="277"/>
      <c r="C22" s="277"/>
      <c r="D22" s="278"/>
      <c r="E22" s="279"/>
      <c r="F22" s="279"/>
      <c r="G22" s="279"/>
    </row>
    <row r="23" spans="1:7" s="114" customFormat="1" ht="12.75" x14ac:dyDescent="0.2">
      <c r="A23" s="474" t="s">
        <v>866</v>
      </c>
      <c r="B23" s="475"/>
      <c r="C23" s="475"/>
      <c r="D23" s="475"/>
      <c r="E23" s="44">
        <f>E21</f>
        <v>8520</v>
      </c>
      <c r="F23" s="44">
        <f>F21</f>
        <v>8600</v>
      </c>
      <c r="G23" s="44">
        <f>G21</f>
        <v>8600</v>
      </c>
    </row>
    <row r="24" spans="1:7" s="114" customFormat="1" ht="12.75" x14ac:dyDescent="0.2">
      <c r="A24" s="476">
        <v>3</v>
      </c>
      <c r="B24" s="477"/>
      <c r="C24" s="478"/>
      <c r="D24" s="19" t="s">
        <v>18</v>
      </c>
      <c r="E24" s="373">
        <f t="shared" ref="E24:G24" si="5">E25+E26</f>
        <v>8520</v>
      </c>
      <c r="F24" s="373">
        <f t="shared" si="5"/>
        <v>8600</v>
      </c>
      <c r="G24" s="373">
        <f t="shared" si="5"/>
        <v>8600</v>
      </c>
    </row>
    <row r="25" spans="1:7" s="114" customFormat="1" ht="12.75" x14ac:dyDescent="0.2">
      <c r="A25" s="504">
        <v>32</v>
      </c>
      <c r="B25" s="505"/>
      <c r="C25" s="506"/>
      <c r="D25" s="19" t="s">
        <v>32</v>
      </c>
      <c r="E25" s="374">
        <f>6800+120</f>
        <v>6920</v>
      </c>
      <c r="F25" s="374">
        <v>7000</v>
      </c>
      <c r="G25" s="383">
        <v>7000</v>
      </c>
    </row>
    <row r="26" spans="1:7" s="114" customFormat="1" ht="12.75" x14ac:dyDescent="0.2">
      <c r="A26" s="504">
        <v>38</v>
      </c>
      <c r="B26" s="505"/>
      <c r="C26" s="506"/>
      <c r="D26" s="19" t="s">
        <v>49</v>
      </c>
      <c r="E26" s="374">
        <f>200+1400</f>
        <v>1600</v>
      </c>
      <c r="F26" s="374">
        <v>1600</v>
      </c>
      <c r="G26" s="383">
        <v>1600</v>
      </c>
    </row>
    <row r="27" spans="1:7" s="114" customFormat="1" ht="12.75" x14ac:dyDescent="0.2">
      <c r="A27" s="492" t="s">
        <v>696</v>
      </c>
      <c r="B27" s="493"/>
      <c r="C27" s="493"/>
      <c r="D27" s="494"/>
      <c r="E27" s="269">
        <f>E28</f>
        <v>16200</v>
      </c>
      <c r="F27" s="269">
        <f t="shared" ref="F27:G27" si="6">F28</f>
        <v>18000</v>
      </c>
      <c r="G27" s="269">
        <f t="shared" si="6"/>
        <v>20000</v>
      </c>
    </row>
    <row r="28" spans="1:7" s="114" customFormat="1" ht="24.75" customHeight="1" x14ac:dyDescent="0.2">
      <c r="A28" s="528" t="s">
        <v>697</v>
      </c>
      <c r="B28" s="529"/>
      <c r="C28" s="529"/>
      <c r="D28" s="530"/>
      <c r="E28" s="320">
        <f>E31</f>
        <v>16200</v>
      </c>
      <c r="F28" s="320">
        <f t="shared" ref="F28:G28" si="7">F31</f>
        <v>18000</v>
      </c>
      <c r="G28" s="320">
        <f t="shared" si="7"/>
        <v>20000</v>
      </c>
    </row>
    <row r="29" spans="1:7" s="114" customFormat="1" ht="15" customHeight="1" x14ac:dyDescent="0.2">
      <c r="A29" s="276" t="s">
        <v>362</v>
      </c>
      <c r="B29" s="277"/>
      <c r="C29" s="277"/>
      <c r="D29" s="278"/>
      <c r="E29" s="279"/>
      <c r="F29" s="279"/>
      <c r="G29" s="279"/>
    </row>
    <row r="30" spans="1:7" s="114" customFormat="1" ht="12.75" x14ac:dyDescent="0.2">
      <c r="A30" s="474" t="s">
        <v>866</v>
      </c>
      <c r="B30" s="475"/>
      <c r="C30" s="475"/>
      <c r="D30" s="475"/>
      <c r="E30" s="45">
        <f>E28</f>
        <v>16200</v>
      </c>
      <c r="F30" s="45">
        <f>F28</f>
        <v>18000</v>
      </c>
      <c r="G30" s="45">
        <f>G28</f>
        <v>20000</v>
      </c>
    </row>
    <row r="31" spans="1:7" s="114" customFormat="1" ht="12.75" x14ac:dyDescent="0.2">
      <c r="A31" s="476">
        <v>3</v>
      </c>
      <c r="B31" s="477"/>
      <c r="C31" s="478"/>
      <c r="D31" s="36" t="s">
        <v>18</v>
      </c>
      <c r="E31" s="202">
        <f>E32</f>
        <v>16200</v>
      </c>
      <c r="F31" s="202">
        <f t="shared" ref="F31:G31" si="8">F32</f>
        <v>18000</v>
      </c>
      <c r="G31" s="202">
        <f t="shared" si="8"/>
        <v>20000</v>
      </c>
    </row>
    <row r="32" spans="1:7" s="114" customFormat="1" ht="12.75" x14ac:dyDescent="0.2">
      <c r="A32" s="504">
        <v>32</v>
      </c>
      <c r="B32" s="505"/>
      <c r="C32" s="506"/>
      <c r="D32" s="36" t="s">
        <v>32</v>
      </c>
      <c r="E32" s="202">
        <f>1000+500+4000+1000+3000+5800+400+500</f>
        <v>16200</v>
      </c>
      <c r="F32" s="202">
        <v>18000</v>
      </c>
      <c r="G32" s="202">
        <v>20000</v>
      </c>
    </row>
    <row r="33" spans="1:7" s="114" customFormat="1" ht="12.75" x14ac:dyDescent="0.2">
      <c r="A33" s="531" t="s">
        <v>67</v>
      </c>
      <c r="B33" s="532"/>
      <c r="C33" s="532"/>
      <c r="D33" s="532"/>
      <c r="E33" s="280">
        <f>E34+E82+E101+E323+E369+E387+E410+E445</f>
        <v>2376791.2000000002</v>
      </c>
      <c r="F33" s="280">
        <f>F34+F82+F101+F323+F369+F387+F410+F445</f>
        <v>2396490</v>
      </c>
      <c r="G33" s="280">
        <f>G34+G82+G101+G323+G369+G387+G410+G445</f>
        <v>2458740</v>
      </c>
    </row>
    <row r="34" spans="1:7" s="114" customFormat="1" ht="12.75" x14ac:dyDescent="0.2">
      <c r="A34" s="281" t="s">
        <v>68</v>
      </c>
      <c r="B34" s="281"/>
      <c r="C34" s="281"/>
      <c r="D34" s="281"/>
      <c r="E34" s="275">
        <f>E40+E75+E69</f>
        <v>401529</v>
      </c>
      <c r="F34" s="275">
        <f>F40+F75+F69</f>
        <v>567440</v>
      </c>
      <c r="G34" s="275">
        <f>G40+G75+G69</f>
        <v>566940</v>
      </c>
    </row>
    <row r="35" spans="1:7" s="114" customFormat="1" ht="12.75" x14ac:dyDescent="0.2">
      <c r="A35" s="147" t="s">
        <v>867</v>
      </c>
      <c r="B35" s="148"/>
      <c r="C35" s="148"/>
      <c r="D35" s="324"/>
      <c r="E35" s="66">
        <f>E72</f>
        <v>10000</v>
      </c>
      <c r="F35" s="66">
        <f>F43+F52+F59+F72</f>
        <v>108300</v>
      </c>
      <c r="G35" s="66">
        <f>G43+G52+G59+G72</f>
        <v>108800</v>
      </c>
    </row>
    <row r="36" spans="1:7" s="114" customFormat="1" ht="12.75" x14ac:dyDescent="0.2">
      <c r="A36" s="147" t="s">
        <v>908</v>
      </c>
      <c r="B36" s="148"/>
      <c r="C36" s="148"/>
      <c r="D36" s="324"/>
      <c r="E36" s="66">
        <f>E44</f>
        <v>5073</v>
      </c>
      <c r="F36" s="66">
        <f>F44</f>
        <v>50200</v>
      </c>
      <c r="G36" s="66">
        <f>G44</f>
        <v>200</v>
      </c>
    </row>
    <row r="37" spans="1:7" s="114" customFormat="1" ht="12.75" x14ac:dyDescent="0.2">
      <c r="A37" s="147" t="s">
        <v>871</v>
      </c>
      <c r="B37" s="148"/>
      <c r="C37" s="148"/>
      <c r="D37" s="324"/>
      <c r="E37" s="66">
        <f>E45+E53+E60+E65</f>
        <v>275037</v>
      </c>
      <c r="F37" s="66">
        <f>F45+F53+F60+F65</f>
        <v>394000</v>
      </c>
      <c r="G37" s="66">
        <f>G45+G53+G60+G65</f>
        <v>433000</v>
      </c>
    </row>
    <row r="38" spans="1:7" s="114" customFormat="1" ht="12.75" x14ac:dyDescent="0.2">
      <c r="A38" s="147" t="s">
        <v>900</v>
      </c>
      <c r="B38" s="148"/>
      <c r="C38" s="148"/>
      <c r="D38" s="324"/>
      <c r="E38" s="66">
        <f>E78+E54</f>
        <v>34919</v>
      </c>
      <c r="F38" s="66">
        <f>F54+F78</f>
        <v>14940</v>
      </c>
      <c r="G38" s="66">
        <f>G54+G78</f>
        <v>14940</v>
      </c>
    </row>
    <row r="39" spans="1:7" s="114" customFormat="1" ht="12.75" x14ac:dyDescent="0.2">
      <c r="A39" s="147" t="s">
        <v>910</v>
      </c>
      <c r="B39" s="148"/>
      <c r="C39" s="148"/>
      <c r="D39" s="324"/>
      <c r="E39" s="66">
        <f>E66</f>
        <v>76500</v>
      </c>
      <c r="F39" s="66">
        <f>F66</f>
        <v>0</v>
      </c>
      <c r="G39" s="66">
        <f>G66</f>
        <v>10000</v>
      </c>
    </row>
    <row r="40" spans="1:7" s="114" customFormat="1" ht="12.75" x14ac:dyDescent="0.2">
      <c r="A40" s="492" t="s">
        <v>360</v>
      </c>
      <c r="B40" s="493"/>
      <c r="C40" s="493"/>
      <c r="D40" s="494"/>
      <c r="E40" s="282">
        <f>E41+E50+E57+E63</f>
        <v>376610</v>
      </c>
      <c r="F40" s="282">
        <f>F41+F50+F57+F63</f>
        <v>492500</v>
      </c>
      <c r="G40" s="282">
        <f>G41+G50+G57+G63</f>
        <v>519000</v>
      </c>
    </row>
    <row r="41" spans="1:7" s="114" customFormat="1" ht="24.75" customHeight="1" x14ac:dyDescent="0.2">
      <c r="A41" s="528" t="s">
        <v>500</v>
      </c>
      <c r="B41" s="529"/>
      <c r="C41" s="529"/>
      <c r="D41" s="529"/>
      <c r="E41" s="318">
        <f>E46</f>
        <v>253110</v>
      </c>
      <c r="F41" s="318">
        <f t="shared" ref="F41:G41" si="9">F46</f>
        <v>387500</v>
      </c>
      <c r="G41" s="318">
        <f t="shared" si="9"/>
        <v>479000</v>
      </c>
    </row>
    <row r="42" spans="1:7" s="114" customFormat="1" ht="15" customHeight="1" x14ac:dyDescent="0.2">
      <c r="A42" s="276" t="s">
        <v>362</v>
      </c>
      <c r="B42" s="283"/>
      <c r="C42" s="283"/>
      <c r="D42" s="283"/>
      <c r="E42" s="284"/>
      <c r="F42" s="284"/>
      <c r="G42" s="284"/>
    </row>
    <row r="43" spans="1:7" s="114" customFormat="1" ht="15" customHeight="1" x14ac:dyDescent="0.2">
      <c r="A43" s="474" t="s">
        <v>866</v>
      </c>
      <c r="B43" s="475"/>
      <c r="C43" s="475"/>
      <c r="D43" s="475"/>
      <c r="E43" s="321"/>
      <c r="F43" s="40">
        <f>F41-F44-F45</f>
        <v>37300</v>
      </c>
      <c r="G43" s="40">
        <f>G41-G44-G45</f>
        <v>58800</v>
      </c>
    </row>
    <row r="44" spans="1:7" s="114" customFormat="1" ht="15" customHeight="1" x14ac:dyDescent="0.2">
      <c r="A44" s="390" t="s">
        <v>916</v>
      </c>
      <c r="B44" s="391"/>
      <c r="C44" s="391"/>
      <c r="D44" s="391"/>
      <c r="E44" s="40">
        <f>73+5000</f>
        <v>5073</v>
      </c>
      <c r="F44" s="40">
        <f>100+50000+100</f>
        <v>50200</v>
      </c>
      <c r="G44" s="40">
        <f>100+100</f>
        <v>200</v>
      </c>
    </row>
    <row r="45" spans="1:7" s="114" customFormat="1" ht="15" customHeight="1" x14ac:dyDescent="0.2">
      <c r="A45" s="474" t="s">
        <v>869</v>
      </c>
      <c r="B45" s="475"/>
      <c r="C45" s="475"/>
      <c r="D45" s="475"/>
      <c r="E45" s="40">
        <f>E41-E44</f>
        <v>248037</v>
      </c>
      <c r="F45" s="40">
        <f>120000+180000</f>
        <v>300000</v>
      </c>
      <c r="G45" s="40">
        <f>200000+200000+20000</f>
        <v>420000</v>
      </c>
    </row>
    <row r="46" spans="1:7" s="114" customFormat="1" ht="12.75" x14ac:dyDescent="0.2">
      <c r="A46" s="476">
        <v>3</v>
      </c>
      <c r="B46" s="477"/>
      <c r="C46" s="478"/>
      <c r="D46" s="19" t="s">
        <v>18</v>
      </c>
      <c r="E46" s="202">
        <f>E47+E48+E49</f>
        <v>253110</v>
      </c>
      <c r="F46" s="202">
        <f t="shared" ref="F46:G46" si="10">F47+F48+F49</f>
        <v>387500</v>
      </c>
      <c r="G46" s="202">
        <f t="shared" si="10"/>
        <v>479000</v>
      </c>
    </row>
    <row r="47" spans="1:7" s="114" customFormat="1" ht="12.75" x14ac:dyDescent="0.2">
      <c r="A47" s="479">
        <v>31</v>
      </c>
      <c r="B47" s="480"/>
      <c r="C47" s="481"/>
      <c r="D47" s="19" t="s">
        <v>21</v>
      </c>
      <c r="E47" s="202">
        <f>119880+4500+19800</f>
        <v>144180</v>
      </c>
      <c r="F47" s="202">
        <v>147000</v>
      </c>
      <c r="G47" s="202">
        <v>149000</v>
      </c>
    </row>
    <row r="48" spans="1:7" s="114" customFormat="1" ht="12.75" x14ac:dyDescent="0.2">
      <c r="A48" s="504">
        <v>32</v>
      </c>
      <c r="B48" s="505"/>
      <c r="C48" s="506"/>
      <c r="D48" s="19" t="s">
        <v>32</v>
      </c>
      <c r="E48" s="202">
        <f>500+2820+1000+1500+700+400+1000+300+11000+7000+1000+4000+500+2160+1500+600+290+500+8000+2000+7600+600+1500+2000+500+3000+2000+2000+8790+5000+950+360+300+4000+2000+1000+3050+1000+2000+10000+140+800</f>
        <v>105360</v>
      </c>
      <c r="F48" s="202">
        <v>237000</v>
      </c>
      <c r="G48" s="202">
        <v>326000</v>
      </c>
    </row>
    <row r="49" spans="1:7" s="114" customFormat="1" ht="12.75" x14ac:dyDescent="0.2">
      <c r="A49" s="504">
        <v>34</v>
      </c>
      <c r="B49" s="505"/>
      <c r="C49" s="506"/>
      <c r="D49" s="19" t="s">
        <v>100</v>
      </c>
      <c r="E49" s="202">
        <f>2520+50+1000</f>
        <v>3570</v>
      </c>
      <c r="F49" s="202">
        <v>3500</v>
      </c>
      <c r="G49" s="202">
        <v>4000</v>
      </c>
    </row>
    <row r="50" spans="1:7" s="114" customFormat="1" ht="12.75" x14ac:dyDescent="0.2">
      <c r="A50" s="500" t="s">
        <v>501</v>
      </c>
      <c r="B50" s="501"/>
      <c r="C50" s="501"/>
      <c r="D50" s="517"/>
      <c r="E50" s="318">
        <f>E55</f>
        <v>30000</v>
      </c>
      <c r="F50" s="318">
        <f t="shared" ref="F50:G50" si="11">F55</f>
        <v>81000</v>
      </c>
      <c r="G50" s="318">
        <f t="shared" si="11"/>
        <v>23000</v>
      </c>
    </row>
    <row r="51" spans="1:7" s="114" customFormat="1" ht="15" customHeight="1" x14ac:dyDescent="0.2">
      <c r="A51" s="276" t="s">
        <v>362</v>
      </c>
      <c r="B51" s="283"/>
      <c r="C51" s="283"/>
      <c r="D51" s="283"/>
      <c r="E51" s="284"/>
      <c r="F51" s="284"/>
      <c r="G51" s="284"/>
    </row>
    <row r="52" spans="1:7" s="114" customFormat="1" ht="15" customHeight="1" x14ac:dyDescent="0.2">
      <c r="A52" s="474" t="s">
        <v>866</v>
      </c>
      <c r="B52" s="475"/>
      <c r="C52" s="475"/>
      <c r="D52" s="475"/>
      <c r="E52" s="321"/>
      <c r="F52" s="40">
        <f>F50-F53</f>
        <v>11000</v>
      </c>
      <c r="G52" s="40">
        <f>G50-G53</f>
        <v>10000</v>
      </c>
    </row>
    <row r="53" spans="1:7" s="114" customFormat="1" ht="12.75" customHeight="1" x14ac:dyDescent="0.2">
      <c r="A53" s="474" t="s">
        <v>869</v>
      </c>
      <c r="B53" s="475"/>
      <c r="C53" s="475"/>
      <c r="D53" s="475"/>
      <c r="E53" s="40">
        <f>E50-E54</f>
        <v>10000</v>
      </c>
      <c r="F53" s="40">
        <v>70000</v>
      </c>
      <c r="G53" s="40">
        <v>13000</v>
      </c>
    </row>
    <row r="54" spans="1:7" s="114" customFormat="1" ht="12.75" x14ac:dyDescent="0.2">
      <c r="A54" s="474" t="s">
        <v>899</v>
      </c>
      <c r="B54" s="475"/>
      <c r="C54" s="475"/>
      <c r="D54" s="475"/>
      <c r="E54" s="285">
        <v>20000</v>
      </c>
      <c r="F54" s="285"/>
      <c r="G54" s="285"/>
    </row>
    <row r="55" spans="1:7" s="114" customFormat="1" ht="25.5" x14ac:dyDescent="0.2">
      <c r="A55" s="476">
        <v>4</v>
      </c>
      <c r="B55" s="477"/>
      <c r="C55" s="478"/>
      <c r="D55" s="19" t="s">
        <v>5</v>
      </c>
      <c r="E55" s="202">
        <f>E56</f>
        <v>30000</v>
      </c>
      <c r="F55" s="202">
        <f t="shared" ref="F55" si="12">F56</f>
        <v>81000</v>
      </c>
      <c r="G55" s="202">
        <f>G56</f>
        <v>23000</v>
      </c>
    </row>
    <row r="56" spans="1:7" s="114" customFormat="1" ht="25.5" x14ac:dyDescent="0.2">
      <c r="A56" s="479">
        <v>42</v>
      </c>
      <c r="B56" s="480"/>
      <c r="C56" s="481"/>
      <c r="D56" s="19" t="s">
        <v>91</v>
      </c>
      <c r="E56" s="202">
        <v>30000</v>
      </c>
      <c r="F56" s="202">
        <v>81000</v>
      </c>
      <c r="G56" s="202">
        <v>23000</v>
      </c>
    </row>
    <row r="57" spans="1:7" s="114" customFormat="1" ht="12.75" x14ac:dyDescent="0.2">
      <c r="A57" s="511" t="s">
        <v>502</v>
      </c>
      <c r="B57" s="512"/>
      <c r="C57" s="512"/>
      <c r="D57" s="513"/>
      <c r="E57" s="313">
        <f>E61</f>
        <v>3500</v>
      </c>
      <c r="F57" s="313">
        <f t="shared" ref="F57:G57" si="13">F61</f>
        <v>24000</v>
      </c>
      <c r="G57" s="313">
        <f t="shared" si="13"/>
        <v>7000</v>
      </c>
    </row>
    <row r="58" spans="1:7" s="114" customFormat="1" ht="12.75" x14ac:dyDescent="0.2">
      <c r="A58" s="276" t="s">
        <v>362</v>
      </c>
      <c r="B58" s="283"/>
      <c r="C58" s="283"/>
      <c r="D58" s="283"/>
      <c r="E58" s="286"/>
      <c r="F58" s="286"/>
      <c r="G58" s="286"/>
    </row>
    <row r="59" spans="1:7" s="114" customFormat="1" ht="12.75" x14ac:dyDescent="0.2">
      <c r="A59" s="474" t="s">
        <v>866</v>
      </c>
      <c r="B59" s="475"/>
      <c r="C59" s="475"/>
      <c r="D59" s="475"/>
      <c r="E59" s="285"/>
      <c r="F59" s="285"/>
      <c r="G59" s="285">
        <v>7000</v>
      </c>
    </row>
    <row r="60" spans="1:7" s="114" customFormat="1" ht="12.75" x14ac:dyDescent="0.2">
      <c r="A60" s="474" t="s">
        <v>869</v>
      </c>
      <c r="B60" s="475"/>
      <c r="C60" s="475"/>
      <c r="D60" s="475"/>
      <c r="E60" s="285">
        <v>3500</v>
      </c>
      <c r="F60" s="285">
        <v>24000</v>
      </c>
      <c r="G60" s="285"/>
    </row>
    <row r="61" spans="1:7" s="114" customFormat="1" ht="25.5" x14ac:dyDescent="0.2">
      <c r="A61" s="476">
        <v>4</v>
      </c>
      <c r="B61" s="477"/>
      <c r="C61" s="478"/>
      <c r="D61" s="19" t="s">
        <v>5</v>
      </c>
      <c r="E61" s="202">
        <f>E62</f>
        <v>3500</v>
      </c>
      <c r="F61" s="202">
        <f t="shared" ref="F61:G61" si="14">F62</f>
        <v>24000</v>
      </c>
      <c r="G61" s="202">
        <f t="shared" si="14"/>
        <v>7000</v>
      </c>
    </row>
    <row r="62" spans="1:7" s="114" customFormat="1" ht="25.5" x14ac:dyDescent="0.2">
      <c r="A62" s="479">
        <v>42</v>
      </c>
      <c r="B62" s="480"/>
      <c r="C62" s="481"/>
      <c r="D62" s="19" t="s">
        <v>91</v>
      </c>
      <c r="E62" s="202">
        <f>2000+1500</f>
        <v>3500</v>
      </c>
      <c r="F62" s="202">
        <v>24000</v>
      </c>
      <c r="G62" s="202">
        <v>7000</v>
      </c>
    </row>
    <row r="63" spans="1:7" s="114" customFormat="1" ht="24.75" customHeight="1" x14ac:dyDescent="0.2">
      <c r="A63" s="497" t="s">
        <v>734</v>
      </c>
      <c r="B63" s="498"/>
      <c r="C63" s="498"/>
      <c r="D63" s="499"/>
      <c r="E63" s="318">
        <f>E67</f>
        <v>90000</v>
      </c>
      <c r="F63" s="318"/>
      <c r="G63" s="318">
        <f>G67</f>
        <v>10000</v>
      </c>
    </row>
    <row r="64" spans="1:7" s="114" customFormat="1" ht="12.75" x14ac:dyDescent="0.2">
      <c r="A64" s="276" t="s">
        <v>362</v>
      </c>
      <c r="B64" s="283"/>
      <c r="C64" s="283"/>
      <c r="D64" s="283"/>
      <c r="E64" s="284"/>
      <c r="F64" s="284"/>
      <c r="G64" s="284"/>
    </row>
    <row r="65" spans="1:7" s="114" customFormat="1" ht="12.75" x14ac:dyDescent="0.2">
      <c r="A65" s="474" t="s">
        <v>869</v>
      </c>
      <c r="B65" s="475"/>
      <c r="C65" s="475"/>
      <c r="D65" s="475"/>
      <c r="E65" s="285">
        <f>E63-E66</f>
        <v>13500</v>
      </c>
      <c r="F65" s="285"/>
      <c r="G65" s="285"/>
    </row>
    <row r="66" spans="1:7" s="114" customFormat="1" ht="12.75" x14ac:dyDescent="0.2">
      <c r="A66" s="474" t="s">
        <v>876</v>
      </c>
      <c r="B66" s="475"/>
      <c r="C66" s="475"/>
      <c r="D66" s="483"/>
      <c r="E66" s="285">
        <v>76500</v>
      </c>
      <c r="F66" s="285"/>
      <c r="G66" s="285">
        <v>10000</v>
      </c>
    </row>
    <row r="67" spans="1:7" s="114" customFormat="1" ht="25.5" x14ac:dyDescent="0.2">
      <c r="A67" s="476">
        <v>4</v>
      </c>
      <c r="B67" s="477"/>
      <c r="C67" s="478"/>
      <c r="D67" s="19" t="s">
        <v>5</v>
      </c>
      <c r="E67" s="202">
        <f>E68</f>
        <v>90000</v>
      </c>
      <c r="F67" s="202"/>
      <c r="G67" s="202">
        <f t="shared" ref="G67" si="15">G68</f>
        <v>10000</v>
      </c>
    </row>
    <row r="68" spans="1:7" s="114" customFormat="1" ht="25.5" x14ac:dyDescent="0.2">
      <c r="A68" s="479">
        <v>42</v>
      </c>
      <c r="B68" s="480"/>
      <c r="C68" s="481"/>
      <c r="D68" s="19" t="s">
        <v>91</v>
      </c>
      <c r="E68" s="202">
        <v>90000</v>
      </c>
      <c r="F68" s="202"/>
      <c r="G68" s="202">
        <v>10000</v>
      </c>
    </row>
    <row r="69" spans="1:7" s="114" customFormat="1" ht="12.75" x14ac:dyDescent="0.2">
      <c r="A69" s="492" t="s">
        <v>363</v>
      </c>
      <c r="B69" s="493"/>
      <c r="C69" s="493"/>
      <c r="D69" s="494"/>
      <c r="E69" s="287">
        <f>E70</f>
        <v>10000</v>
      </c>
      <c r="F69" s="287">
        <f t="shared" ref="F69:G69" si="16">F70</f>
        <v>60000</v>
      </c>
      <c r="G69" s="287">
        <f t="shared" si="16"/>
        <v>33000</v>
      </c>
    </row>
    <row r="70" spans="1:7" s="114" customFormat="1" ht="12.75" x14ac:dyDescent="0.2">
      <c r="A70" s="511" t="s">
        <v>503</v>
      </c>
      <c r="B70" s="512"/>
      <c r="C70" s="512"/>
      <c r="D70" s="513"/>
      <c r="E70" s="310">
        <f>E73</f>
        <v>10000</v>
      </c>
      <c r="F70" s="310">
        <f t="shared" ref="F70:G70" si="17">F73</f>
        <v>60000</v>
      </c>
      <c r="G70" s="310">
        <f t="shared" si="17"/>
        <v>33000</v>
      </c>
    </row>
    <row r="71" spans="1:7" s="114" customFormat="1" ht="15" customHeight="1" x14ac:dyDescent="0.2">
      <c r="A71" s="276" t="s">
        <v>385</v>
      </c>
      <c r="B71" s="283"/>
      <c r="C71" s="283"/>
      <c r="D71" s="283"/>
      <c r="E71" s="284"/>
      <c r="F71" s="284"/>
      <c r="G71" s="284"/>
    </row>
    <row r="72" spans="1:7" s="114" customFormat="1" ht="15" customHeight="1" x14ac:dyDescent="0.2">
      <c r="A72" s="474" t="s">
        <v>866</v>
      </c>
      <c r="B72" s="475"/>
      <c r="C72" s="475"/>
      <c r="D72" s="475"/>
      <c r="E72" s="40">
        <v>10000</v>
      </c>
      <c r="F72" s="40">
        <f>F70</f>
        <v>60000</v>
      </c>
      <c r="G72" s="40">
        <f>G70</f>
        <v>33000</v>
      </c>
    </row>
    <row r="73" spans="1:7" s="114" customFormat="1" ht="12.75" x14ac:dyDescent="0.2">
      <c r="A73" s="476">
        <v>3</v>
      </c>
      <c r="B73" s="477"/>
      <c r="C73" s="478"/>
      <c r="D73" s="19" t="s">
        <v>18</v>
      </c>
      <c r="E73" s="271">
        <f>E74</f>
        <v>10000</v>
      </c>
      <c r="F73" s="271">
        <f t="shared" ref="F73:G73" si="18">F74</f>
        <v>60000</v>
      </c>
      <c r="G73" s="271">
        <f t="shared" si="18"/>
        <v>33000</v>
      </c>
    </row>
    <row r="74" spans="1:7" s="114" customFormat="1" ht="25.5" x14ac:dyDescent="0.2">
      <c r="A74" s="504">
        <v>36</v>
      </c>
      <c r="B74" s="505"/>
      <c r="C74" s="506"/>
      <c r="D74" s="36" t="s">
        <v>47</v>
      </c>
      <c r="E74" s="271">
        <v>10000</v>
      </c>
      <c r="F74" s="271">
        <v>60000</v>
      </c>
      <c r="G74" s="271">
        <v>33000</v>
      </c>
    </row>
    <row r="75" spans="1:7" s="114" customFormat="1" ht="12.75" x14ac:dyDescent="0.2">
      <c r="A75" s="492" t="s">
        <v>364</v>
      </c>
      <c r="B75" s="493"/>
      <c r="C75" s="493"/>
      <c r="D75" s="494"/>
      <c r="E75" s="288">
        <f t="shared" ref="E75:G75" si="19">E76</f>
        <v>14919</v>
      </c>
      <c r="F75" s="288">
        <f t="shared" si="19"/>
        <v>14940</v>
      </c>
      <c r="G75" s="288">
        <f t="shared" si="19"/>
        <v>14940</v>
      </c>
    </row>
    <row r="76" spans="1:7" s="114" customFormat="1" ht="25.5" customHeight="1" x14ac:dyDescent="0.2">
      <c r="A76" s="497" t="s">
        <v>504</v>
      </c>
      <c r="B76" s="498"/>
      <c r="C76" s="498"/>
      <c r="D76" s="499"/>
      <c r="E76" s="308">
        <f>E79</f>
        <v>14919</v>
      </c>
      <c r="F76" s="308">
        <f t="shared" ref="F76:G76" si="20">F79</f>
        <v>14940</v>
      </c>
      <c r="G76" s="308">
        <f t="shared" si="20"/>
        <v>14940</v>
      </c>
    </row>
    <row r="77" spans="1:7" s="114" customFormat="1" ht="15" customHeight="1" x14ac:dyDescent="0.2">
      <c r="A77" s="276" t="s">
        <v>542</v>
      </c>
      <c r="B77" s="283"/>
      <c r="C77" s="283"/>
      <c r="D77" s="283"/>
      <c r="E77" s="284"/>
      <c r="F77" s="284"/>
      <c r="G77" s="284"/>
    </row>
    <row r="78" spans="1:7" s="114" customFormat="1" ht="12.75" x14ac:dyDescent="0.2">
      <c r="A78" s="474" t="s">
        <v>899</v>
      </c>
      <c r="B78" s="475"/>
      <c r="C78" s="475"/>
      <c r="D78" s="475"/>
      <c r="E78" s="285">
        <f>E76</f>
        <v>14919</v>
      </c>
      <c r="F78" s="285">
        <f>F79</f>
        <v>14940</v>
      </c>
      <c r="G78" s="285">
        <f>G79</f>
        <v>14940</v>
      </c>
    </row>
    <row r="79" spans="1:7" s="114" customFormat="1" ht="12.75" x14ac:dyDescent="0.2">
      <c r="A79" s="476">
        <v>3</v>
      </c>
      <c r="B79" s="477"/>
      <c r="C79" s="478"/>
      <c r="D79" s="19" t="s">
        <v>18</v>
      </c>
      <c r="E79" s="202">
        <f>E80+E81</f>
        <v>14919</v>
      </c>
      <c r="F79" s="202">
        <f t="shared" ref="F79:G79" si="21">F80+F81</f>
        <v>14940</v>
      </c>
      <c r="G79" s="202">
        <f t="shared" si="21"/>
        <v>14940</v>
      </c>
    </row>
    <row r="80" spans="1:7" s="114" customFormat="1" ht="12.75" x14ac:dyDescent="0.2">
      <c r="A80" s="479">
        <v>31</v>
      </c>
      <c r="B80" s="480"/>
      <c r="C80" s="481"/>
      <c r="D80" s="19" t="s">
        <v>21</v>
      </c>
      <c r="E80" s="202">
        <f>12600+2079</f>
        <v>14679</v>
      </c>
      <c r="F80" s="202">
        <v>14700</v>
      </c>
      <c r="G80" s="202">
        <v>14700</v>
      </c>
    </row>
    <row r="81" spans="1:7" s="114" customFormat="1" ht="12.75" x14ac:dyDescent="0.2">
      <c r="A81" s="504">
        <v>32</v>
      </c>
      <c r="B81" s="505"/>
      <c r="C81" s="506"/>
      <c r="D81" s="36" t="s">
        <v>32</v>
      </c>
      <c r="E81" s="202">
        <v>240</v>
      </c>
      <c r="F81" s="202">
        <v>240</v>
      </c>
      <c r="G81" s="202">
        <v>240</v>
      </c>
    </row>
    <row r="82" spans="1:7" s="114" customFormat="1" ht="12.75" x14ac:dyDescent="0.2">
      <c r="A82" s="281" t="s">
        <v>72</v>
      </c>
      <c r="B82" s="281"/>
      <c r="C82" s="281"/>
      <c r="D82" s="281"/>
      <c r="E82" s="275">
        <f>E85+E94</f>
        <v>28240</v>
      </c>
      <c r="F82" s="275">
        <f t="shared" ref="F82:G82" si="22">F85+F94</f>
        <v>28300</v>
      </c>
      <c r="G82" s="275">
        <f t="shared" si="22"/>
        <v>28300</v>
      </c>
    </row>
    <row r="83" spans="1:7" s="114" customFormat="1" ht="12.75" x14ac:dyDescent="0.2">
      <c r="A83" s="147" t="s">
        <v>867</v>
      </c>
      <c r="B83" s="148"/>
      <c r="C83" s="148"/>
      <c r="D83" s="324"/>
      <c r="E83" s="66">
        <f>E97</f>
        <v>3110</v>
      </c>
      <c r="F83" s="66">
        <f>F97+F89</f>
        <v>6500</v>
      </c>
      <c r="G83" s="66">
        <f>G89+G97</f>
        <v>26500</v>
      </c>
    </row>
    <row r="84" spans="1:7" s="114" customFormat="1" ht="12.75" x14ac:dyDescent="0.2">
      <c r="A84" s="147" t="s">
        <v>871</v>
      </c>
      <c r="B84" s="148"/>
      <c r="C84" s="148"/>
      <c r="D84" s="324"/>
      <c r="E84" s="66">
        <f>E89+E90+E98</f>
        <v>25130</v>
      </c>
      <c r="F84" s="66">
        <f>F90+F98</f>
        <v>21800</v>
      </c>
      <c r="G84" s="66">
        <f>G90+G98</f>
        <v>1800</v>
      </c>
    </row>
    <row r="85" spans="1:7" s="114" customFormat="1" ht="12.75" x14ac:dyDescent="0.2">
      <c r="A85" s="289" t="s">
        <v>365</v>
      </c>
      <c r="B85" s="289"/>
      <c r="C85" s="289"/>
      <c r="D85" s="289"/>
      <c r="E85" s="288">
        <f t="shared" ref="E85:G85" si="23">E86</f>
        <v>23240</v>
      </c>
      <c r="F85" s="288">
        <f t="shared" si="23"/>
        <v>23300</v>
      </c>
      <c r="G85" s="288">
        <f t="shared" si="23"/>
        <v>23300</v>
      </c>
    </row>
    <row r="86" spans="1:7" s="114" customFormat="1" ht="12.75" x14ac:dyDescent="0.2">
      <c r="A86" s="495" t="s">
        <v>505</v>
      </c>
      <c r="B86" s="496"/>
      <c r="C86" s="496"/>
      <c r="D86" s="510"/>
      <c r="E86" s="490">
        <f>E91</f>
        <v>23240</v>
      </c>
      <c r="F86" s="490">
        <f t="shared" ref="F86:G86" si="24">F91</f>
        <v>23300</v>
      </c>
      <c r="G86" s="490">
        <f t="shared" si="24"/>
        <v>23300</v>
      </c>
    </row>
    <row r="87" spans="1:7" s="114" customFormat="1" ht="12.75" x14ac:dyDescent="0.2">
      <c r="A87" s="314" t="s">
        <v>73</v>
      </c>
      <c r="B87" s="319"/>
      <c r="C87" s="319"/>
      <c r="D87" s="319"/>
      <c r="E87" s="491"/>
      <c r="F87" s="491"/>
      <c r="G87" s="491"/>
    </row>
    <row r="88" spans="1:7" s="114" customFormat="1" ht="15" customHeight="1" x14ac:dyDescent="0.2">
      <c r="A88" s="276" t="s">
        <v>388</v>
      </c>
      <c r="B88" s="283"/>
      <c r="C88" s="283"/>
      <c r="D88" s="283"/>
      <c r="E88" s="284"/>
      <c r="F88" s="284"/>
      <c r="G88" s="284"/>
    </row>
    <row r="89" spans="1:7" s="114" customFormat="1" ht="12.75" customHeight="1" x14ac:dyDescent="0.2">
      <c r="A89" s="474" t="s">
        <v>866</v>
      </c>
      <c r="B89" s="475"/>
      <c r="C89" s="475"/>
      <c r="D89" s="475"/>
      <c r="E89" s="40"/>
      <c r="F89" s="40">
        <f>F86-F90</f>
        <v>1500</v>
      </c>
      <c r="G89" s="40">
        <f>G86-G90</f>
        <v>21500</v>
      </c>
    </row>
    <row r="90" spans="1:7" s="114" customFormat="1" ht="12.75" x14ac:dyDescent="0.2">
      <c r="A90" s="474" t="s">
        <v>869</v>
      </c>
      <c r="B90" s="475"/>
      <c r="C90" s="475"/>
      <c r="D90" s="475"/>
      <c r="E90" s="285">
        <f>1800+21440</f>
        <v>23240</v>
      </c>
      <c r="F90" s="285">
        <f>1800+20000</f>
        <v>21800</v>
      </c>
      <c r="G90" s="285">
        <v>1800</v>
      </c>
    </row>
    <row r="91" spans="1:7" s="114" customFormat="1" ht="12.75" x14ac:dyDescent="0.2">
      <c r="A91" s="476">
        <v>3</v>
      </c>
      <c r="B91" s="477"/>
      <c r="C91" s="478"/>
      <c r="D91" s="19" t="s">
        <v>18</v>
      </c>
      <c r="E91" s="202">
        <f>E93+E92</f>
        <v>23240</v>
      </c>
      <c r="F91" s="202">
        <f t="shared" ref="F91:G91" si="25">F93+F92</f>
        <v>23300</v>
      </c>
      <c r="G91" s="202">
        <f t="shared" si="25"/>
        <v>23300</v>
      </c>
    </row>
    <row r="92" spans="1:7" s="114" customFormat="1" ht="12.75" x14ac:dyDescent="0.2">
      <c r="A92" s="504">
        <v>32</v>
      </c>
      <c r="B92" s="505"/>
      <c r="C92" s="506"/>
      <c r="D92" s="36" t="s">
        <v>32</v>
      </c>
      <c r="E92" s="202">
        <v>3240</v>
      </c>
      <c r="F92" s="202">
        <v>3300</v>
      </c>
      <c r="G92" s="202">
        <v>3300</v>
      </c>
    </row>
    <row r="93" spans="1:7" s="114" customFormat="1" ht="12.75" x14ac:dyDescent="0.2">
      <c r="A93" s="479">
        <v>35</v>
      </c>
      <c r="B93" s="480"/>
      <c r="C93" s="481"/>
      <c r="D93" s="19" t="s">
        <v>46</v>
      </c>
      <c r="E93" s="202">
        <f>20000</f>
        <v>20000</v>
      </c>
      <c r="F93" s="202">
        <v>20000</v>
      </c>
      <c r="G93" s="202">
        <v>20000</v>
      </c>
    </row>
    <row r="94" spans="1:7" s="114" customFormat="1" ht="12.75" x14ac:dyDescent="0.2">
      <c r="A94" s="549" t="s">
        <v>366</v>
      </c>
      <c r="B94" s="550"/>
      <c r="C94" s="550"/>
      <c r="D94" s="550"/>
      <c r="E94" s="49">
        <f t="shared" ref="E94:G94" si="26">E95</f>
        <v>5000</v>
      </c>
      <c r="F94" s="49">
        <f t="shared" si="26"/>
        <v>5000</v>
      </c>
      <c r="G94" s="49">
        <f t="shared" si="26"/>
        <v>5000</v>
      </c>
    </row>
    <row r="95" spans="1:7" s="114" customFormat="1" ht="12.75" x14ac:dyDescent="0.2">
      <c r="A95" s="500" t="s">
        <v>506</v>
      </c>
      <c r="B95" s="501"/>
      <c r="C95" s="501"/>
      <c r="D95" s="501"/>
      <c r="E95" s="310">
        <f>E99</f>
        <v>5000</v>
      </c>
      <c r="F95" s="310">
        <f t="shared" ref="F95:G95" si="27">F99</f>
        <v>5000</v>
      </c>
      <c r="G95" s="310">
        <f t="shared" si="27"/>
        <v>5000</v>
      </c>
    </row>
    <row r="96" spans="1:7" s="114" customFormat="1" ht="15" customHeight="1" x14ac:dyDescent="0.2">
      <c r="A96" s="385" t="s">
        <v>389</v>
      </c>
      <c r="B96" s="386"/>
      <c r="C96" s="386"/>
      <c r="D96" s="386"/>
      <c r="E96" s="73"/>
      <c r="F96" s="73"/>
      <c r="G96" s="73"/>
    </row>
    <row r="97" spans="1:7" s="114" customFormat="1" ht="12.75" x14ac:dyDescent="0.2">
      <c r="A97" s="474" t="s">
        <v>866</v>
      </c>
      <c r="B97" s="475"/>
      <c r="C97" s="475"/>
      <c r="D97" s="475"/>
      <c r="E97" s="285">
        <f>E95-E98</f>
        <v>3110</v>
      </c>
      <c r="F97" s="285">
        <v>5000</v>
      </c>
      <c r="G97" s="285">
        <v>5000</v>
      </c>
    </row>
    <row r="98" spans="1:7" s="114" customFormat="1" ht="12.75" x14ac:dyDescent="0.2">
      <c r="A98" s="474" t="s">
        <v>869</v>
      </c>
      <c r="B98" s="475"/>
      <c r="C98" s="475"/>
      <c r="D98" s="475"/>
      <c r="E98" s="285">
        <v>1890</v>
      </c>
      <c r="F98" s="285"/>
      <c r="G98" s="285"/>
    </row>
    <row r="99" spans="1:7" s="114" customFormat="1" ht="12.75" x14ac:dyDescent="0.2">
      <c r="A99" s="476">
        <v>3</v>
      </c>
      <c r="B99" s="477"/>
      <c r="C99" s="478"/>
      <c r="D99" s="19" t="s">
        <v>18</v>
      </c>
      <c r="E99" s="202">
        <f>E100</f>
        <v>5000</v>
      </c>
      <c r="F99" s="202">
        <f t="shared" ref="F99:G99" si="28">F100</f>
        <v>5000</v>
      </c>
      <c r="G99" s="202">
        <f t="shared" si="28"/>
        <v>5000</v>
      </c>
    </row>
    <row r="100" spans="1:7" s="114" customFormat="1" ht="12.75" x14ac:dyDescent="0.2">
      <c r="A100" s="479">
        <v>35</v>
      </c>
      <c r="B100" s="480"/>
      <c r="C100" s="481"/>
      <c r="D100" s="19" t="s">
        <v>46</v>
      </c>
      <c r="E100" s="202">
        <v>5000</v>
      </c>
      <c r="F100" s="202">
        <v>5000</v>
      </c>
      <c r="G100" s="202">
        <v>5000</v>
      </c>
    </row>
    <row r="101" spans="1:7" s="114" customFormat="1" ht="12.75" x14ac:dyDescent="0.2">
      <c r="A101" s="50" t="s">
        <v>74</v>
      </c>
      <c r="B101" s="50"/>
      <c r="C101" s="50"/>
      <c r="D101" s="50"/>
      <c r="E101" s="502">
        <f>E111+E163+E228+E236+E255+E263+E313</f>
        <v>1151330</v>
      </c>
      <c r="F101" s="502">
        <f>F111+F163+F228+F236+F255+F263+F313</f>
        <v>1076600</v>
      </c>
      <c r="G101" s="502">
        <f>G111+G163+G228+G236+G255+G263+G313</f>
        <v>1183600</v>
      </c>
    </row>
    <row r="102" spans="1:7" s="114" customFormat="1" ht="12.75" x14ac:dyDescent="0.2">
      <c r="A102" s="524" t="s">
        <v>75</v>
      </c>
      <c r="B102" s="525"/>
      <c r="C102" s="525"/>
      <c r="D102" s="526"/>
      <c r="E102" s="503"/>
      <c r="F102" s="503"/>
      <c r="G102" s="503"/>
    </row>
    <row r="103" spans="1:7" s="114" customFormat="1" ht="12.75" x14ac:dyDescent="0.2">
      <c r="A103" s="147" t="s">
        <v>867</v>
      </c>
      <c r="B103" s="148"/>
      <c r="C103" s="148"/>
      <c r="D103" s="324"/>
      <c r="E103" s="325">
        <f>E115+E124+E130+E138+E144+E153+E158+E166+E175+E182+E190+E197+E206+E212+E246+E252+E258+E266+E275+E283+E289+E297+E303+E310+E316</f>
        <v>251230</v>
      </c>
      <c r="F103" s="325">
        <f>F115+F124+F130+F138+F144+F153+F158+F166+F175+F182+F190+F197+F206+F212+F224+F239+F246+F251+F258+F266+F275+F283+F289+F316</f>
        <v>179200</v>
      </c>
      <c r="G103" s="325">
        <f>G115+G124+G130+G138+G144+G153+G158+G166+G175+G182+G190+G197+G206+G212+G224+G239+G246+G251+G258+G266+G275+G283+G289+G316</f>
        <v>123210</v>
      </c>
    </row>
    <row r="104" spans="1:7" s="114" customFormat="1" ht="24.75" customHeight="1" x14ac:dyDescent="0.2">
      <c r="A104" s="507" t="s">
        <v>915</v>
      </c>
      <c r="B104" s="508"/>
      <c r="C104" s="508"/>
      <c r="D104" s="509"/>
      <c r="E104" s="325">
        <f>E133+E160</f>
        <v>17000</v>
      </c>
      <c r="F104" s="325">
        <f>F117+F133+F160+F168+F213+F290+F297+F303+F309</f>
        <v>34000</v>
      </c>
      <c r="G104" s="325">
        <f>G117+G133+G160+G169+G213+G290+G297+G303+G309</f>
        <v>34000</v>
      </c>
    </row>
    <row r="105" spans="1:7" s="114" customFormat="1" ht="12.75" x14ac:dyDescent="0.2">
      <c r="A105" s="507" t="s">
        <v>914</v>
      </c>
      <c r="B105" s="508"/>
      <c r="C105" s="508"/>
      <c r="D105" s="509"/>
      <c r="E105" s="325">
        <f>E139</f>
        <v>60</v>
      </c>
      <c r="F105" s="325">
        <f>F139</f>
        <v>100</v>
      </c>
      <c r="G105" s="325">
        <f>G139</f>
        <v>100</v>
      </c>
    </row>
    <row r="106" spans="1:7" s="114" customFormat="1" ht="12.75" customHeight="1" x14ac:dyDescent="0.2">
      <c r="A106" s="507" t="s">
        <v>909</v>
      </c>
      <c r="B106" s="508"/>
      <c r="C106" s="508"/>
      <c r="D106" s="509"/>
      <c r="E106" s="325">
        <f>E116+E131+E159+E191+E198+E118+E132+E145+E146+E183</f>
        <v>155100</v>
      </c>
      <c r="F106" s="325">
        <f>F116+F118+F125+F131+F132+F145+F146+F159+F183+F191+F168+F198+F225</f>
        <v>120100</v>
      </c>
      <c r="G106" s="325">
        <f>G116+G118+G125+G131+G132+G145+G146+G159+G168+G183+G191+G198+G225</f>
        <v>206800</v>
      </c>
    </row>
    <row r="107" spans="1:7" s="114" customFormat="1" ht="12.75" x14ac:dyDescent="0.2">
      <c r="A107" s="147" t="s">
        <v>871</v>
      </c>
      <c r="B107" s="148"/>
      <c r="C107" s="148"/>
      <c r="D107" s="324"/>
      <c r="E107" s="325">
        <f>E176+E199+E207+E240+E276+E291+E317</f>
        <v>375200</v>
      </c>
      <c r="F107" s="325">
        <f>F119+F167+F176+F199+F207+F240+F252+F259+F276+F284+F291+F298+F304+F317</f>
        <v>423000</v>
      </c>
      <c r="G107" s="325">
        <f>G119+G167+G176+G199+G207+G240+G252+G259+G276+G284+G291+G298+G304+G317</f>
        <v>378000</v>
      </c>
    </row>
    <row r="108" spans="1:7" s="114" customFormat="1" ht="12.75" x14ac:dyDescent="0.2">
      <c r="A108" s="147" t="s">
        <v>900</v>
      </c>
      <c r="B108" s="148"/>
      <c r="C108" s="148"/>
      <c r="D108" s="324"/>
      <c r="E108" s="325">
        <f>E177+E184+E200+E233+E192+E241</f>
        <v>40000</v>
      </c>
      <c r="F108" s="325">
        <f>F177+F192+F184+F200+F233+F241</f>
        <v>129000</v>
      </c>
      <c r="G108" s="325">
        <f>G177+G184+G192+G200+G233+G241</f>
        <v>85290</v>
      </c>
    </row>
    <row r="109" spans="1:7" s="114" customFormat="1" ht="12.75" x14ac:dyDescent="0.2">
      <c r="A109" s="147" t="s">
        <v>910</v>
      </c>
      <c r="B109" s="148"/>
      <c r="C109" s="148"/>
      <c r="D109" s="324"/>
      <c r="E109" s="325">
        <f>E170+E214+E219</f>
        <v>260100</v>
      </c>
      <c r="F109" s="325">
        <f>F170+F214+F219+F310</f>
        <v>170000</v>
      </c>
      <c r="G109" s="325">
        <f>G219+G310</f>
        <v>355000</v>
      </c>
    </row>
    <row r="110" spans="1:7" s="114" customFormat="1" ht="12.75" x14ac:dyDescent="0.2">
      <c r="A110" s="147" t="s">
        <v>911</v>
      </c>
      <c r="B110" s="148"/>
      <c r="C110" s="148"/>
      <c r="D110" s="324"/>
      <c r="E110" s="325">
        <f>E268</f>
        <v>31200</v>
      </c>
      <c r="F110" s="325">
        <f>F292</f>
        <v>21200</v>
      </c>
      <c r="G110" s="325">
        <f>G292</f>
        <v>1200</v>
      </c>
    </row>
    <row r="111" spans="1:7" s="114" customFormat="1" ht="12.75" x14ac:dyDescent="0.2">
      <c r="A111" s="492" t="s">
        <v>507</v>
      </c>
      <c r="B111" s="493"/>
      <c r="C111" s="493"/>
      <c r="D111" s="494"/>
      <c r="E111" s="282">
        <f>E112+E122+E128+E136+E142+E151+E156</f>
        <v>88700</v>
      </c>
      <c r="F111" s="282">
        <f>F112+F122+F128+F136+F142+F151+F156</f>
        <v>204800</v>
      </c>
      <c r="G111" s="282">
        <f>G112+G122+G128+G136+G142+G151+G156</f>
        <v>174300</v>
      </c>
    </row>
    <row r="112" spans="1:7" s="114" customFormat="1" ht="12.75" x14ac:dyDescent="0.2">
      <c r="A112" s="495" t="s">
        <v>508</v>
      </c>
      <c r="B112" s="496"/>
      <c r="C112" s="496"/>
      <c r="D112" s="496"/>
      <c r="E112" s="514">
        <f t="shared" ref="E112:G112" si="29">E120</f>
        <v>27000</v>
      </c>
      <c r="F112" s="514">
        <f t="shared" si="29"/>
        <v>108000</v>
      </c>
      <c r="G112" s="514">
        <f t="shared" si="29"/>
        <v>96000</v>
      </c>
    </row>
    <row r="113" spans="1:7" s="114" customFormat="1" ht="12.75" x14ac:dyDescent="0.2">
      <c r="A113" s="487" t="s">
        <v>509</v>
      </c>
      <c r="B113" s="488"/>
      <c r="C113" s="488"/>
      <c r="D113" s="488"/>
      <c r="E113" s="515"/>
      <c r="F113" s="515"/>
      <c r="G113" s="515"/>
    </row>
    <row r="114" spans="1:7" s="114" customFormat="1" ht="15" customHeight="1" x14ac:dyDescent="0.2">
      <c r="A114" s="276" t="s">
        <v>386</v>
      </c>
      <c r="B114" s="283"/>
      <c r="C114" s="283"/>
      <c r="D114" s="283"/>
      <c r="E114" s="284"/>
      <c r="F114" s="284"/>
      <c r="G114" s="284"/>
    </row>
    <row r="115" spans="1:7" s="114" customFormat="1" ht="12.75" x14ac:dyDescent="0.2">
      <c r="A115" s="474" t="s">
        <v>866</v>
      </c>
      <c r="B115" s="475"/>
      <c r="C115" s="475"/>
      <c r="D115" s="475"/>
      <c r="E115" s="285">
        <f>200+1000+1000+1000</f>
        <v>3200</v>
      </c>
      <c r="F115" s="285"/>
      <c r="G115" s="285"/>
    </row>
    <row r="116" spans="1:7" s="114" customFormat="1" ht="26.25" customHeight="1" x14ac:dyDescent="0.2">
      <c r="A116" s="465" t="s">
        <v>901</v>
      </c>
      <c r="B116" s="466"/>
      <c r="C116" s="466"/>
      <c r="D116" s="467"/>
      <c r="E116" s="285">
        <f>14000+2000+2000+3000</f>
        <v>21000</v>
      </c>
      <c r="F116" s="285">
        <v>20000</v>
      </c>
      <c r="G116" s="285">
        <v>46000</v>
      </c>
    </row>
    <row r="117" spans="1:7" s="114" customFormat="1" ht="26.25" customHeight="1" x14ac:dyDescent="0.2">
      <c r="A117" s="465" t="s">
        <v>917</v>
      </c>
      <c r="B117" s="466"/>
      <c r="C117" s="466"/>
      <c r="D117" s="467"/>
      <c r="E117" s="285"/>
      <c r="F117" s="285">
        <f>F112-F116-F118-F119</f>
        <v>15200</v>
      </c>
      <c r="G117" s="285"/>
    </row>
    <row r="118" spans="1:7" s="114" customFormat="1" ht="27" customHeight="1" x14ac:dyDescent="0.2">
      <c r="A118" s="465" t="s">
        <v>903</v>
      </c>
      <c r="B118" s="466"/>
      <c r="C118" s="466"/>
      <c r="D118" s="467"/>
      <c r="E118" s="285">
        <v>2800</v>
      </c>
      <c r="F118" s="285">
        <v>2800</v>
      </c>
      <c r="G118" s="285"/>
    </row>
    <row r="119" spans="1:7" s="114" customFormat="1" ht="12.75" customHeight="1" x14ac:dyDescent="0.2">
      <c r="A119" s="474" t="s">
        <v>869</v>
      </c>
      <c r="B119" s="475"/>
      <c r="C119" s="475"/>
      <c r="D119" s="475"/>
      <c r="E119" s="285"/>
      <c r="F119" s="285">
        <v>70000</v>
      </c>
      <c r="G119" s="285">
        <v>50000</v>
      </c>
    </row>
    <row r="120" spans="1:7" s="114" customFormat="1" ht="12.75" x14ac:dyDescent="0.2">
      <c r="A120" s="476">
        <v>3</v>
      </c>
      <c r="B120" s="477"/>
      <c r="C120" s="478"/>
      <c r="D120" s="19" t="s">
        <v>18</v>
      </c>
      <c r="E120" s="66">
        <f>E121</f>
        <v>27000</v>
      </c>
      <c r="F120" s="66">
        <f t="shared" ref="F120:G120" si="30">F121</f>
        <v>108000</v>
      </c>
      <c r="G120" s="66">
        <f t="shared" si="30"/>
        <v>96000</v>
      </c>
    </row>
    <row r="121" spans="1:7" s="114" customFormat="1" ht="12.75" x14ac:dyDescent="0.2">
      <c r="A121" s="479">
        <v>32</v>
      </c>
      <c r="B121" s="480"/>
      <c r="C121" s="481"/>
      <c r="D121" s="19" t="s">
        <v>32</v>
      </c>
      <c r="E121" s="202">
        <v>27000</v>
      </c>
      <c r="F121" s="202">
        <v>108000</v>
      </c>
      <c r="G121" s="202">
        <v>96000</v>
      </c>
    </row>
    <row r="122" spans="1:7" s="114" customFormat="1" ht="12.75" x14ac:dyDescent="0.2">
      <c r="A122" s="511" t="s">
        <v>510</v>
      </c>
      <c r="B122" s="512"/>
      <c r="C122" s="512"/>
      <c r="D122" s="513"/>
      <c r="E122" s="313">
        <f>E126</f>
        <v>3000</v>
      </c>
      <c r="F122" s="313">
        <f t="shared" ref="F122:G122" si="31">F126</f>
        <v>3000</v>
      </c>
      <c r="G122" s="313">
        <f t="shared" si="31"/>
        <v>3000</v>
      </c>
    </row>
    <row r="123" spans="1:7" s="114" customFormat="1" ht="15" customHeight="1" x14ac:dyDescent="0.2">
      <c r="A123" s="276" t="s">
        <v>892</v>
      </c>
      <c r="B123" s="283"/>
      <c r="C123" s="283"/>
      <c r="D123" s="283"/>
      <c r="E123" s="284"/>
      <c r="F123" s="284"/>
      <c r="G123" s="284"/>
    </row>
    <row r="124" spans="1:7" s="114" customFormat="1" ht="12.75" x14ac:dyDescent="0.2">
      <c r="A124" s="474" t="s">
        <v>866</v>
      </c>
      <c r="B124" s="475"/>
      <c r="C124" s="475"/>
      <c r="D124" s="475"/>
      <c r="E124" s="285">
        <v>3000</v>
      </c>
      <c r="F124" s="285">
        <f>F126</f>
        <v>3000</v>
      </c>
      <c r="G124" s="285">
        <v>200</v>
      </c>
    </row>
    <row r="125" spans="1:7" s="114" customFormat="1" ht="24.75" customHeight="1" x14ac:dyDescent="0.2">
      <c r="A125" s="465" t="s">
        <v>903</v>
      </c>
      <c r="B125" s="466"/>
      <c r="C125" s="466"/>
      <c r="D125" s="467"/>
      <c r="E125" s="285"/>
      <c r="F125" s="285"/>
      <c r="G125" s="285">
        <v>2800</v>
      </c>
    </row>
    <row r="126" spans="1:7" s="114" customFormat="1" ht="12.75" x14ac:dyDescent="0.2">
      <c r="A126" s="476">
        <v>3</v>
      </c>
      <c r="B126" s="477"/>
      <c r="C126" s="478"/>
      <c r="D126" s="19" t="s">
        <v>18</v>
      </c>
      <c r="E126" s="202">
        <f>E127</f>
        <v>3000</v>
      </c>
      <c r="F126" s="202">
        <f t="shared" ref="F126:G126" si="32">F127</f>
        <v>3000</v>
      </c>
      <c r="G126" s="202">
        <f t="shared" si="32"/>
        <v>3000</v>
      </c>
    </row>
    <row r="127" spans="1:7" s="114" customFormat="1" ht="12.75" x14ac:dyDescent="0.2">
      <c r="A127" s="479">
        <v>32</v>
      </c>
      <c r="B127" s="480"/>
      <c r="C127" s="481"/>
      <c r="D127" s="19" t="s">
        <v>32</v>
      </c>
      <c r="E127" s="202">
        <v>3000</v>
      </c>
      <c r="F127" s="202">
        <v>3000</v>
      </c>
      <c r="G127" s="202">
        <v>3000</v>
      </c>
    </row>
    <row r="128" spans="1:7" s="114" customFormat="1" ht="12.75" x14ac:dyDescent="0.2">
      <c r="A128" s="511" t="s">
        <v>511</v>
      </c>
      <c r="B128" s="512"/>
      <c r="C128" s="512"/>
      <c r="D128" s="513"/>
      <c r="E128" s="313">
        <f>E134</f>
        <v>28500</v>
      </c>
      <c r="F128" s="313">
        <f t="shared" ref="F128:G128" si="33">F134</f>
        <v>30000</v>
      </c>
      <c r="G128" s="313">
        <f t="shared" si="33"/>
        <v>32000</v>
      </c>
    </row>
    <row r="129" spans="1:7" s="114" customFormat="1" ht="15" customHeight="1" x14ac:dyDescent="0.2">
      <c r="A129" s="276" t="s">
        <v>391</v>
      </c>
      <c r="B129" s="283"/>
      <c r="C129" s="283"/>
      <c r="D129" s="283"/>
      <c r="E129" s="284"/>
      <c r="F129" s="284"/>
      <c r="G129" s="284"/>
    </row>
    <row r="130" spans="1:7" s="114" customFormat="1" ht="15" customHeight="1" x14ac:dyDescent="0.2">
      <c r="A130" s="474" t="s">
        <v>866</v>
      </c>
      <c r="B130" s="475"/>
      <c r="C130" s="475"/>
      <c r="D130" s="475"/>
      <c r="E130" s="40">
        <f>3500+7000+1000</f>
        <v>11500</v>
      </c>
      <c r="F130" s="40"/>
      <c r="G130" s="40"/>
    </row>
    <row r="131" spans="1:7" s="114" customFormat="1" ht="27" customHeight="1" x14ac:dyDescent="0.2">
      <c r="A131" s="465" t="s">
        <v>901</v>
      </c>
      <c r="B131" s="466"/>
      <c r="C131" s="466"/>
      <c r="D131" s="467"/>
      <c r="E131" s="285">
        <v>3000</v>
      </c>
      <c r="F131" s="285">
        <v>20000</v>
      </c>
      <c r="G131" s="285">
        <v>32000</v>
      </c>
    </row>
    <row r="132" spans="1:7" s="114" customFormat="1" ht="27" customHeight="1" x14ac:dyDescent="0.2">
      <c r="A132" s="465" t="s">
        <v>904</v>
      </c>
      <c r="B132" s="466"/>
      <c r="C132" s="466"/>
      <c r="D132" s="467"/>
      <c r="E132" s="285">
        <f>1500+1500+3000</f>
        <v>6000</v>
      </c>
      <c r="F132" s="285">
        <v>10000</v>
      </c>
      <c r="G132" s="285"/>
    </row>
    <row r="133" spans="1:7" s="114" customFormat="1" ht="26.25" customHeight="1" x14ac:dyDescent="0.2">
      <c r="A133" s="465" t="s">
        <v>917</v>
      </c>
      <c r="B133" s="466"/>
      <c r="C133" s="466"/>
      <c r="D133" s="467"/>
      <c r="E133" s="285">
        <f>4000+4000</f>
        <v>8000</v>
      </c>
      <c r="F133" s="285"/>
      <c r="G133" s="285"/>
    </row>
    <row r="134" spans="1:7" s="114" customFormat="1" ht="12.75" x14ac:dyDescent="0.2">
      <c r="A134" s="476">
        <v>3</v>
      </c>
      <c r="B134" s="477"/>
      <c r="C134" s="478"/>
      <c r="D134" s="19" t="s">
        <v>18</v>
      </c>
      <c r="E134" s="202">
        <f>E135</f>
        <v>28500</v>
      </c>
      <c r="F134" s="202">
        <f t="shared" ref="F134:G134" si="34">F135</f>
        <v>30000</v>
      </c>
      <c r="G134" s="202">
        <f t="shared" si="34"/>
        <v>32000</v>
      </c>
    </row>
    <row r="135" spans="1:7" s="114" customFormat="1" ht="12.75" x14ac:dyDescent="0.2">
      <c r="A135" s="479">
        <v>32</v>
      </c>
      <c r="B135" s="480"/>
      <c r="C135" s="481"/>
      <c r="D135" s="19" t="s">
        <v>32</v>
      </c>
      <c r="E135" s="202">
        <f>5000+8000+500+1000+3000+1000+10000</f>
        <v>28500</v>
      </c>
      <c r="F135" s="202">
        <v>30000</v>
      </c>
      <c r="G135" s="202">
        <v>32000</v>
      </c>
    </row>
    <row r="136" spans="1:7" s="114" customFormat="1" ht="25.5" customHeight="1" x14ac:dyDescent="0.2">
      <c r="A136" s="497" t="s">
        <v>512</v>
      </c>
      <c r="B136" s="498"/>
      <c r="C136" s="498"/>
      <c r="D136" s="499"/>
      <c r="E136" s="313">
        <f>E140</f>
        <v>1000</v>
      </c>
      <c r="F136" s="313">
        <f t="shared" ref="F136:G136" si="35">F140</f>
        <v>20000</v>
      </c>
      <c r="G136" s="313">
        <f t="shared" si="35"/>
        <v>5000</v>
      </c>
    </row>
    <row r="137" spans="1:7" s="114" customFormat="1" ht="15" customHeight="1" x14ac:dyDescent="0.2">
      <c r="A137" s="276" t="s">
        <v>391</v>
      </c>
      <c r="B137" s="283"/>
      <c r="C137" s="283"/>
      <c r="D137" s="283"/>
      <c r="E137" s="284"/>
      <c r="F137" s="284"/>
      <c r="G137" s="284"/>
    </row>
    <row r="138" spans="1:7" s="114" customFormat="1" ht="12.75" x14ac:dyDescent="0.2">
      <c r="A138" s="474" t="s">
        <v>866</v>
      </c>
      <c r="B138" s="475"/>
      <c r="C138" s="475"/>
      <c r="D138" s="475"/>
      <c r="E138" s="285">
        <f>E136-E139</f>
        <v>940</v>
      </c>
      <c r="F138" s="285">
        <f>F136-F139</f>
        <v>19900</v>
      </c>
      <c r="G138" s="285">
        <f>G136-G139</f>
        <v>4900</v>
      </c>
    </row>
    <row r="139" spans="1:7" s="114" customFormat="1" ht="12.75" x14ac:dyDescent="0.2">
      <c r="A139" s="474" t="s">
        <v>913</v>
      </c>
      <c r="B139" s="475"/>
      <c r="C139" s="475"/>
      <c r="D139" s="475"/>
      <c r="E139" s="285">
        <v>60</v>
      </c>
      <c r="F139" s="285">
        <v>100</v>
      </c>
      <c r="G139" s="285">
        <v>100</v>
      </c>
    </row>
    <row r="140" spans="1:7" s="114" customFormat="1" ht="12.75" x14ac:dyDescent="0.2">
      <c r="A140" s="476">
        <v>3</v>
      </c>
      <c r="B140" s="477"/>
      <c r="C140" s="478"/>
      <c r="D140" s="19" t="s">
        <v>18</v>
      </c>
      <c r="E140" s="202">
        <f>E141</f>
        <v>1000</v>
      </c>
      <c r="F140" s="202">
        <f t="shared" ref="F140:G140" si="36">F141</f>
        <v>20000</v>
      </c>
      <c r="G140" s="202">
        <f t="shared" si="36"/>
        <v>5000</v>
      </c>
    </row>
    <row r="141" spans="1:7" s="114" customFormat="1" ht="12.75" x14ac:dyDescent="0.2">
      <c r="A141" s="479">
        <v>32</v>
      </c>
      <c r="B141" s="480"/>
      <c r="C141" s="481"/>
      <c r="D141" s="19" t="s">
        <v>32</v>
      </c>
      <c r="E141" s="202">
        <f>500+500</f>
        <v>1000</v>
      </c>
      <c r="F141" s="202">
        <v>20000</v>
      </c>
      <c r="G141" s="202">
        <v>5000</v>
      </c>
    </row>
    <row r="142" spans="1:7" s="114" customFormat="1" ht="12.75" x14ac:dyDescent="0.2">
      <c r="A142" s="312" t="s">
        <v>513</v>
      </c>
      <c r="B142" s="312"/>
      <c r="C142" s="312"/>
      <c r="D142" s="312"/>
      <c r="E142" s="310">
        <f>E149</f>
        <v>7000</v>
      </c>
      <c r="F142" s="310">
        <f>F149</f>
        <v>18000</v>
      </c>
      <c r="G142" s="310">
        <f t="shared" ref="G142" si="37">G149</f>
        <v>14000</v>
      </c>
    </row>
    <row r="143" spans="1:7" s="114" customFormat="1" ht="15" customHeight="1" x14ac:dyDescent="0.2">
      <c r="A143" s="276" t="s">
        <v>386</v>
      </c>
      <c r="B143" s="283"/>
      <c r="C143" s="283"/>
      <c r="D143" s="283"/>
      <c r="E143" s="284"/>
      <c r="F143" s="284"/>
      <c r="G143" s="284"/>
    </row>
    <row r="144" spans="1:7" s="114" customFormat="1" ht="15" customHeight="1" x14ac:dyDescent="0.2">
      <c r="A144" s="474" t="s">
        <v>866</v>
      </c>
      <c r="B144" s="475"/>
      <c r="C144" s="475"/>
      <c r="D144" s="475"/>
      <c r="E144" s="40">
        <f>500+200</f>
        <v>700</v>
      </c>
      <c r="F144" s="40">
        <f>F142-F145-F146</f>
        <v>15700</v>
      </c>
      <c r="G144" s="40">
        <f>G142-G145-G146</f>
        <v>2000</v>
      </c>
    </row>
    <row r="145" spans="1:7" s="114" customFormat="1" ht="24.75" customHeight="1" x14ac:dyDescent="0.2">
      <c r="A145" s="465" t="s">
        <v>904</v>
      </c>
      <c r="B145" s="466"/>
      <c r="C145" s="466"/>
      <c r="D145" s="467"/>
      <c r="E145" s="285">
        <f>5500+500</f>
        <v>6000</v>
      </c>
      <c r="F145" s="285">
        <v>2000</v>
      </c>
      <c r="G145" s="285">
        <v>11700</v>
      </c>
    </row>
    <row r="146" spans="1:7" s="114" customFormat="1" ht="24.75" customHeight="1" x14ac:dyDescent="0.2">
      <c r="A146" s="465" t="s">
        <v>907</v>
      </c>
      <c r="B146" s="466"/>
      <c r="C146" s="466"/>
      <c r="D146" s="467"/>
      <c r="E146" s="285">
        <v>300</v>
      </c>
      <c r="F146" s="285">
        <v>300</v>
      </c>
      <c r="G146" s="285">
        <v>300</v>
      </c>
    </row>
    <row r="147" spans="1:7" s="114" customFormat="1" ht="12.75" x14ac:dyDescent="0.2">
      <c r="A147" s="474"/>
      <c r="B147" s="475"/>
      <c r="C147" s="475"/>
      <c r="D147" s="475"/>
      <c r="E147" s="285"/>
      <c r="F147" s="285"/>
      <c r="G147" s="285"/>
    </row>
    <row r="148" spans="1:7" s="114" customFormat="1" ht="12.75" x14ac:dyDescent="0.2">
      <c r="A148" s="546"/>
      <c r="B148" s="547"/>
      <c r="C148" s="547"/>
      <c r="D148" s="548"/>
      <c r="E148" s="285"/>
      <c r="F148" s="285"/>
      <c r="G148" s="285"/>
    </row>
    <row r="149" spans="1:7" s="114" customFormat="1" ht="12.75" x14ac:dyDescent="0.2">
      <c r="A149" s="476">
        <v>3</v>
      </c>
      <c r="B149" s="477"/>
      <c r="C149" s="478"/>
      <c r="D149" s="19" t="s">
        <v>18</v>
      </c>
      <c r="E149" s="66">
        <f>E150</f>
        <v>7000</v>
      </c>
      <c r="F149" s="66">
        <f t="shared" ref="F149:G149" si="38">F150</f>
        <v>18000</v>
      </c>
      <c r="G149" s="66">
        <f t="shared" si="38"/>
        <v>14000</v>
      </c>
    </row>
    <row r="150" spans="1:7" s="114" customFormat="1" ht="12.75" x14ac:dyDescent="0.2">
      <c r="A150" s="479">
        <v>32</v>
      </c>
      <c r="B150" s="480"/>
      <c r="C150" s="481"/>
      <c r="D150" s="19" t="s">
        <v>32</v>
      </c>
      <c r="E150" s="202">
        <f>1000+6000</f>
        <v>7000</v>
      </c>
      <c r="F150" s="202">
        <v>18000</v>
      </c>
      <c r="G150" s="202">
        <v>14000</v>
      </c>
    </row>
    <row r="151" spans="1:7" s="114" customFormat="1" ht="25.5" customHeight="1" x14ac:dyDescent="0.2">
      <c r="A151" s="497" t="s">
        <v>514</v>
      </c>
      <c r="B151" s="498"/>
      <c r="C151" s="498"/>
      <c r="D151" s="499"/>
      <c r="E151" s="309">
        <f t="shared" ref="E151:G151" si="39">E154</f>
        <v>2200</v>
      </c>
      <c r="F151" s="309">
        <f t="shared" si="39"/>
        <v>2800</v>
      </c>
      <c r="G151" s="309">
        <f t="shared" si="39"/>
        <v>1300</v>
      </c>
    </row>
    <row r="152" spans="1:7" s="114" customFormat="1" ht="15" customHeight="1" x14ac:dyDescent="0.2">
      <c r="A152" s="276" t="s">
        <v>386</v>
      </c>
      <c r="B152" s="283"/>
      <c r="C152" s="283"/>
      <c r="D152" s="283"/>
      <c r="E152" s="284"/>
      <c r="F152" s="284"/>
      <c r="G152" s="284"/>
    </row>
    <row r="153" spans="1:7" s="114" customFormat="1" ht="12.75" x14ac:dyDescent="0.2">
      <c r="A153" s="474" t="s">
        <v>866</v>
      </c>
      <c r="B153" s="475"/>
      <c r="C153" s="475"/>
      <c r="D153" s="475"/>
      <c r="E153" s="285">
        <v>2200</v>
      </c>
      <c r="F153" s="285">
        <v>2800</v>
      </c>
      <c r="G153" s="285">
        <v>1300</v>
      </c>
    </row>
    <row r="154" spans="1:7" s="114" customFormat="1" ht="12.75" x14ac:dyDescent="0.2">
      <c r="A154" s="476">
        <v>3</v>
      </c>
      <c r="B154" s="477"/>
      <c r="C154" s="478"/>
      <c r="D154" s="19" t="s">
        <v>18</v>
      </c>
      <c r="E154" s="66">
        <f>E155</f>
        <v>2200</v>
      </c>
      <c r="F154" s="66">
        <f t="shared" ref="F154:G154" si="40">F155</f>
        <v>2800</v>
      </c>
      <c r="G154" s="66">
        <f t="shared" si="40"/>
        <v>1300</v>
      </c>
    </row>
    <row r="155" spans="1:7" s="114" customFormat="1" ht="12.75" x14ac:dyDescent="0.2">
      <c r="A155" s="479">
        <v>32</v>
      </c>
      <c r="B155" s="480"/>
      <c r="C155" s="481"/>
      <c r="D155" s="19" t="s">
        <v>32</v>
      </c>
      <c r="E155" s="202">
        <f>200+2000</f>
        <v>2200</v>
      </c>
      <c r="F155" s="202">
        <v>2800</v>
      </c>
      <c r="G155" s="202">
        <v>1300</v>
      </c>
    </row>
    <row r="156" spans="1:7" s="114" customFormat="1" ht="24.75" customHeight="1" x14ac:dyDescent="0.2">
      <c r="A156" s="497" t="s">
        <v>515</v>
      </c>
      <c r="B156" s="498"/>
      <c r="C156" s="498"/>
      <c r="D156" s="499"/>
      <c r="E156" s="309">
        <f t="shared" ref="E156:G156" si="41">E161</f>
        <v>20000</v>
      </c>
      <c r="F156" s="309">
        <f t="shared" si="41"/>
        <v>23000</v>
      </c>
      <c r="G156" s="309">
        <f t="shared" si="41"/>
        <v>23000</v>
      </c>
    </row>
    <row r="157" spans="1:7" s="114" customFormat="1" ht="15" customHeight="1" x14ac:dyDescent="0.2">
      <c r="A157" s="276" t="s">
        <v>390</v>
      </c>
      <c r="B157" s="283"/>
      <c r="C157" s="283"/>
      <c r="D157" s="283"/>
      <c r="E157" s="284"/>
      <c r="F157" s="284"/>
      <c r="G157" s="284"/>
    </row>
    <row r="158" spans="1:7" s="114" customFormat="1" ht="12.75" x14ac:dyDescent="0.2">
      <c r="A158" s="474" t="s">
        <v>866</v>
      </c>
      <c r="B158" s="475"/>
      <c r="C158" s="475"/>
      <c r="D158" s="475"/>
      <c r="E158" s="285">
        <f>1000+1000</f>
        <v>2000</v>
      </c>
      <c r="F158" s="285"/>
      <c r="G158" s="285"/>
    </row>
    <row r="159" spans="1:7" s="114" customFormat="1" ht="26.25" customHeight="1" x14ac:dyDescent="0.2">
      <c r="A159" s="465" t="s">
        <v>901</v>
      </c>
      <c r="B159" s="466"/>
      <c r="C159" s="466"/>
      <c r="D159" s="467"/>
      <c r="E159" s="285">
        <f>5000+4000</f>
        <v>9000</v>
      </c>
      <c r="F159" s="285">
        <v>19000</v>
      </c>
      <c r="G159" s="285">
        <v>23000</v>
      </c>
    </row>
    <row r="160" spans="1:7" s="114" customFormat="1" ht="25.5" customHeight="1" x14ac:dyDescent="0.2">
      <c r="A160" s="465" t="s">
        <v>918</v>
      </c>
      <c r="B160" s="466"/>
      <c r="C160" s="466"/>
      <c r="D160" s="467"/>
      <c r="E160" s="285">
        <f>4000+5000</f>
        <v>9000</v>
      </c>
      <c r="F160" s="285">
        <v>4000</v>
      </c>
      <c r="G160" s="285"/>
    </row>
    <row r="161" spans="1:7" s="114" customFormat="1" ht="12.75" x14ac:dyDescent="0.2">
      <c r="A161" s="476">
        <v>3</v>
      </c>
      <c r="B161" s="477"/>
      <c r="C161" s="478"/>
      <c r="D161" s="19" t="s">
        <v>18</v>
      </c>
      <c r="E161" s="202">
        <f>E162</f>
        <v>20000</v>
      </c>
      <c r="F161" s="202">
        <f t="shared" ref="F161:G161" si="42">F162</f>
        <v>23000</v>
      </c>
      <c r="G161" s="202">
        <f t="shared" si="42"/>
        <v>23000</v>
      </c>
    </row>
    <row r="162" spans="1:7" s="114" customFormat="1" ht="12.75" x14ac:dyDescent="0.2">
      <c r="A162" s="479">
        <v>32</v>
      </c>
      <c r="B162" s="480"/>
      <c r="C162" s="481"/>
      <c r="D162" s="19" t="s">
        <v>32</v>
      </c>
      <c r="E162" s="202">
        <v>20000</v>
      </c>
      <c r="F162" s="202">
        <v>23000</v>
      </c>
      <c r="G162" s="202">
        <v>23000</v>
      </c>
    </row>
    <row r="163" spans="1:7" s="114" customFormat="1" ht="12.75" x14ac:dyDescent="0.2">
      <c r="A163" s="492" t="s">
        <v>367</v>
      </c>
      <c r="B163" s="493"/>
      <c r="C163" s="493"/>
      <c r="D163" s="494"/>
      <c r="E163" s="282">
        <f>E164+E180+E187+E210+E173+E195+E204</f>
        <v>695000</v>
      </c>
      <c r="F163" s="282">
        <f>F164+F180+F187+F210+F173+F195+F204+F217+F222</f>
        <v>405000</v>
      </c>
      <c r="G163" s="282">
        <f>G164+G180+G187+G210+G173+G195+G204+G217+G222</f>
        <v>558000</v>
      </c>
    </row>
    <row r="164" spans="1:7" s="114" customFormat="1" ht="39" customHeight="1" x14ac:dyDescent="0.2">
      <c r="A164" s="482" t="s">
        <v>926</v>
      </c>
      <c r="B164" s="482"/>
      <c r="C164" s="482"/>
      <c r="D164" s="482"/>
      <c r="E164" s="310">
        <f t="shared" ref="E164:G164" si="43">E171</f>
        <v>75000</v>
      </c>
      <c r="F164" s="310">
        <f t="shared" si="43"/>
        <v>0</v>
      </c>
      <c r="G164" s="310">
        <f t="shared" si="43"/>
        <v>100000</v>
      </c>
    </row>
    <row r="165" spans="1:7" s="114" customFormat="1" ht="12.75" x14ac:dyDescent="0.2">
      <c r="A165" s="276" t="s">
        <v>895</v>
      </c>
      <c r="B165" s="291"/>
      <c r="C165" s="291"/>
      <c r="D165" s="292"/>
      <c r="E165" s="293"/>
      <c r="F165" s="293"/>
      <c r="G165" s="293"/>
    </row>
    <row r="166" spans="1:7" s="114" customFormat="1" ht="12.75" x14ac:dyDescent="0.2">
      <c r="A166" s="474" t="s">
        <v>866</v>
      </c>
      <c r="B166" s="475"/>
      <c r="C166" s="475"/>
      <c r="D166" s="475"/>
      <c r="E166" s="323">
        <f>E164-E170</f>
        <v>27400</v>
      </c>
      <c r="F166" s="322"/>
      <c r="G166" s="323"/>
    </row>
    <row r="167" spans="1:7" s="114" customFormat="1" ht="12.75" x14ac:dyDescent="0.2">
      <c r="A167" s="474" t="s">
        <v>869</v>
      </c>
      <c r="B167" s="475"/>
      <c r="C167" s="475"/>
      <c r="D167" s="483"/>
      <c r="E167" s="323"/>
      <c r="F167" s="322"/>
      <c r="G167" s="323">
        <v>50000</v>
      </c>
    </row>
    <row r="168" spans="1:7" s="114" customFormat="1" ht="25.5" customHeight="1" x14ac:dyDescent="0.2">
      <c r="A168" s="465" t="s">
        <v>901</v>
      </c>
      <c r="B168" s="466"/>
      <c r="C168" s="466"/>
      <c r="D168" s="467"/>
      <c r="E168" s="323"/>
      <c r="F168" s="322"/>
      <c r="G168" s="323">
        <v>41000</v>
      </c>
    </row>
    <row r="169" spans="1:7" s="114" customFormat="1" ht="25.5" customHeight="1" x14ac:dyDescent="0.2">
      <c r="A169" s="465" t="s">
        <v>918</v>
      </c>
      <c r="B169" s="466"/>
      <c r="C169" s="466"/>
      <c r="D169" s="467"/>
      <c r="E169" s="323"/>
      <c r="F169" s="322"/>
      <c r="G169" s="323">
        <v>9000</v>
      </c>
    </row>
    <row r="170" spans="1:7" s="114" customFormat="1" ht="12.75" x14ac:dyDescent="0.2">
      <c r="A170" s="465" t="s">
        <v>905</v>
      </c>
      <c r="B170" s="466"/>
      <c r="C170" s="466"/>
      <c r="D170" s="467"/>
      <c r="E170" s="285">
        <v>47600</v>
      </c>
      <c r="F170" s="285"/>
      <c r="G170" s="285"/>
    </row>
    <row r="171" spans="1:7" s="114" customFormat="1" ht="25.5" x14ac:dyDescent="0.2">
      <c r="A171" s="476">
        <v>4</v>
      </c>
      <c r="B171" s="477"/>
      <c r="C171" s="478"/>
      <c r="D171" s="19" t="s">
        <v>5</v>
      </c>
      <c r="E171" s="202">
        <f>E172</f>
        <v>75000</v>
      </c>
      <c r="F171" s="336"/>
      <c r="G171" s="202">
        <f>G172</f>
        <v>100000</v>
      </c>
    </row>
    <row r="172" spans="1:7" s="114" customFormat="1" ht="25.5" x14ac:dyDescent="0.2">
      <c r="A172" s="118"/>
      <c r="B172" s="119"/>
      <c r="C172" s="119">
        <v>45</v>
      </c>
      <c r="D172" s="120" t="s">
        <v>99</v>
      </c>
      <c r="E172" s="202">
        <f>75000</f>
        <v>75000</v>
      </c>
      <c r="F172" s="336"/>
      <c r="G172" s="202">
        <v>100000</v>
      </c>
    </row>
    <row r="173" spans="1:7" s="114" customFormat="1" ht="12.75" x14ac:dyDescent="0.2">
      <c r="A173" s="551" t="s">
        <v>704</v>
      </c>
      <c r="B173" s="551"/>
      <c r="C173" s="551"/>
      <c r="D173" s="551"/>
      <c r="E173" s="316">
        <f>E178</f>
        <v>150000</v>
      </c>
      <c r="F173" s="316"/>
      <c r="G173" s="316"/>
    </row>
    <row r="174" spans="1:7" s="114" customFormat="1" ht="12.75" x14ac:dyDescent="0.2">
      <c r="A174" s="276" t="s">
        <v>895</v>
      </c>
      <c r="B174" s="291"/>
      <c r="C174" s="291"/>
      <c r="D174" s="292"/>
      <c r="E174" s="294"/>
      <c r="F174" s="294"/>
      <c r="G174" s="294"/>
    </row>
    <row r="175" spans="1:7" s="114" customFormat="1" ht="12.75" x14ac:dyDescent="0.2">
      <c r="A175" s="474" t="s">
        <v>866</v>
      </c>
      <c r="B175" s="475"/>
      <c r="C175" s="475"/>
      <c r="D175" s="475"/>
      <c r="E175" s="295">
        <v>40000</v>
      </c>
      <c r="F175" s="295"/>
      <c r="G175" s="295"/>
    </row>
    <row r="176" spans="1:7" s="114" customFormat="1" ht="12.75" x14ac:dyDescent="0.2">
      <c r="A176" s="474" t="s">
        <v>869</v>
      </c>
      <c r="B176" s="475"/>
      <c r="C176" s="475"/>
      <c r="D176" s="483"/>
      <c r="E176" s="295">
        <v>100000</v>
      </c>
      <c r="F176" s="295"/>
      <c r="G176" s="295"/>
    </row>
    <row r="177" spans="1:7" s="114" customFormat="1" ht="12.75" x14ac:dyDescent="0.2">
      <c r="A177" s="474" t="s">
        <v>899</v>
      </c>
      <c r="B177" s="475"/>
      <c r="C177" s="475"/>
      <c r="D177" s="483"/>
      <c r="E177" s="295">
        <v>10000</v>
      </c>
      <c r="F177" s="295"/>
      <c r="G177" s="295"/>
    </row>
    <row r="178" spans="1:7" s="114" customFormat="1" ht="25.5" x14ac:dyDescent="0.2">
      <c r="A178" s="476">
        <v>4</v>
      </c>
      <c r="B178" s="477"/>
      <c r="C178" s="478"/>
      <c r="D178" s="19" t="s">
        <v>5</v>
      </c>
      <c r="E178" s="375">
        <f>E179</f>
        <v>150000</v>
      </c>
      <c r="F178" s="338"/>
      <c r="G178" s="338"/>
    </row>
    <row r="179" spans="1:7" s="114" customFormat="1" ht="25.5" x14ac:dyDescent="0.2">
      <c r="A179" s="118"/>
      <c r="B179" s="119"/>
      <c r="C179" s="119">
        <v>45</v>
      </c>
      <c r="D179" s="120" t="s">
        <v>99</v>
      </c>
      <c r="E179" s="375">
        <v>150000</v>
      </c>
      <c r="F179" s="338"/>
      <c r="G179" s="338"/>
    </row>
    <row r="180" spans="1:7" s="114" customFormat="1" ht="25.5" customHeight="1" x14ac:dyDescent="0.2">
      <c r="A180" s="482" t="s">
        <v>932</v>
      </c>
      <c r="B180" s="482"/>
      <c r="C180" s="482"/>
      <c r="D180" s="482"/>
      <c r="E180" s="313">
        <f t="shared" ref="E180:G180" si="44">E185</f>
        <v>60000</v>
      </c>
      <c r="F180" s="313">
        <f t="shared" si="44"/>
        <v>0</v>
      </c>
      <c r="G180" s="313">
        <f t="shared" si="44"/>
        <v>0</v>
      </c>
    </row>
    <row r="181" spans="1:7" s="114" customFormat="1" ht="12.75" x14ac:dyDescent="0.2">
      <c r="A181" s="290" t="s">
        <v>894</v>
      </c>
      <c r="B181" s="291"/>
      <c r="C181" s="291"/>
      <c r="D181" s="292"/>
      <c r="E181" s="293"/>
      <c r="F181" s="293"/>
      <c r="G181" s="293"/>
    </row>
    <row r="182" spans="1:7" s="114" customFormat="1" ht="12.75" x14ac:dyDescent="0.2">
      <c r="A182" s="474" t="s">
        <v>866</v>
      </c>
      <c r="B182" s="475"/>
      <c r="C182" s="475"/>
      <c r="D182" s="475"/>
      <c r="E182" s="285">
        <v>1000</v>
      </c>
      <c r="F182" s="285"/>
      <c r="G182" s="285"/>
    </row>
    <row r="183" spans="1:7" s="114" customFormat="1" ht="27" customHeight="1" x14ac:dyDescent="0.2">
      <c r="A183" s="465" t="s">
        <v>901</v>
      </c>
      <c r="B183" s="466"/>
      <c r="C183" s="466"/>
      <c r="D183" s="467"/>
      <c r="E183" s="285">
        <v>54000</v>
      </c>
      <c r="F183" s="285"/>
      <c r="G183" s="285"/>
    </row>
    <row r="184" spans="1:7" s="114" customFormat="1" ht="12.75" x14ac:dyDescent="0.2">
      <c r="A184" s="474" t="s">
        <v>899</v>
      </c>
      <c r="B184" s="475"/>
      <c r="C184" s="475"/>
      <c r="D184" s="483"/>
      <c r="E184" s="285">
        <v>5000</v>
      </c>
      <c r="F184" s="285"/>
      <c r="G184" s="285"/>
    </row>
    <row r="185" spans="1:7" s="114" customFormat="1" ht="25.5" x14ac:dyDescent="0.2">
      <c r="A185" s="476">
        <v>4</v>
      </c>
      <c r="B185" s="477"/>
      <c r="C185" s="478"/>
      <c r="D185" s="19" t="s">
        <v>5</v>
      </c>
      <c r="E185" s="202">
        <f>E186</f>
        <v>60000</v>
      </c>
      <c r="F185" s="336"/>
      <c r="G185" s="336"/>
    </row>
    <row r="186" spans="1:7" s="114" customFormat="1" ht="25.5" x14ac:dyDescent="0.2">
      <c r="A186" s="479">
        <v>42</v>
      </c>
      <c r="B186" s="480"/>
      <c r="C186" s="481"/>
      <c r="D186" s="19" t="s">
        <v>91</v>
      </c>
      <c r="E186" s="202">
        <v>60000</v>
      </c>
      <c r="F186" s="336"/>
      <c r="G186" s="336"/>
    </row>
    <row r="187" spans="1:7" s="114" customFormat="1" ht="1.5" customHeight="1" x14ac:dyDescent="0.2">
      <c r="A187" s="561" t="s">
        <v>924</v>
      </c>
      <c r="B187" s="562"/>
      <c r="C187" s="562"/>
      <c r="D187" s="563"/>
      <c r="E187" s="518">
        <f>E193</f>
        <v>40000</v>
      </c>
      <c r="F187" s="518">
        <f>F193</f>
        <v>80000</v>
      </c>
      <c r="G187" s="518">
        <f>G193</f>
        <v>60000</v>
      </c>
    </row>
    <row r="188" spans="1:7" s="114" customFormat="1" ht="24" customHeight="1" x14ac:dyDescent="0.2">
      <c r="A188" s="471"/>
      <c r="B188" s="472"/>
      <c r="C188" s="472"/>
      <c r="D188" s="473"/>
      <c r="E188" s="520"/>
      <c r="F188" s="520"/>
      <c r="G188" s="520"/>
    </row>
    <row r="189" spans="1:7" s="114" customFormat="1" ht="12.75" x14ac:dyDescent="0.2">
      <c r="A189" s="290" t="s">
        <v>894</v>
      </c>
      <c r="B189" s="291"/>
      <c r="C189" s="291"/>
      <c r="D189" s="292"/>
      <c r="E189" s="293"/>
      <c r="F189" s="293"/>
      <c r="G189" s="293"/>
    </row>
    <row r="190" spans="1:7" s="114" customFormat="1" ht="12.75" x14ac:dyDescent="0.2">
      <c r="A190" s="474" t="s">
        <v>866</v>
      </c>
      <c r="B190" s="475"/>
      <c r="C190" s="475"/>
      <c r="D190" s="475"/>
      <c r="E190" s="323">
        <v>1000</v>
      </c>
      <c r="F190" s="323"/>
      <c r="G190" s="323">
        <f>G187-G191-G192</f>
        <v>2710</v>
      </c>
    </row>
    <row r="191" spans="1:7" s="114" customFormat="1" ht="27" customHeight="1" x14ac:dyDescent="0.2">
      <c r="A191" s="465" t="s">
        <v>901</v>
      </c>
      <c r="B191" s="466"/>
      <c r="C191" s="466"/>
      <c r="D191" s="467"/>
      <c r="E191" s="285">
        <v>30000</v>
      </c>
      <c r="F191" s="285">
        <f>F187-F192</f>
        <v>21000</v>
      </c>
      <c r="G191" s="285">
        <v>22000</v>
      </c>
    </row>
    <row r="192" spans="1:7" s="114" customFormat="1" ht="12.75" x14ac:dyDescent="0.2">
      <c r="A192" s="474" t="s">
        <v>899</v>
      </c>
      <c r="B192" s="475"/>
      <c r="C192" s="475"/>
      <c r="D192" s="483"/>
      <c r="E192" s="285">
        <v>9000</v>
      </c>
      <c r="F192" s="285">
        <f>9000+50000</f>
        <v>59000</v>
      </c>
      <c r="G192" s="285">
        <f>9000+26290</f>
        <v>35290</v>
      </c>
    </row>
    <row r="193" spans="1:7" s="114" customFormat="1" ht="25.5" x14ac:dyDescent="0.2">
      <c r="A193" s="476">
        <v>4</v>
      </c>
      <c r="B193" s="477"/>
      <c r="C193" s="478"/>
      <c r="D193" s="19" t="s">
        <v>5</v>
      </c>
      <c r="E193" s="202">
        <f>E194</f>
        <v>40000</v>
      </c>
      <c r="F193" s="202">
        <f>F194</f>
        <v>80000</v>
      </c>
      <c r="G193" s="202">
        <f>G194</f>
        <v>60000</v>
      </c>
    </row>
    <row r="194" spans="1:7" s="114" customFormat="1" ht="25.5" x14ac:dyDescent="0.2">
      <c r="A194" s="479">
        <v>42</v>
      </c>
      <c r="B194" s="480"/>
      <c r="C194" s="481"/>
      <c r="D194" s="19" t="s">
        <v>91</v>
      </c>
      <c r="E194" s="202">
        <v>40000</v>
      </c>
      <c r="F194" s="202">
        <v>80000</v>
      </c>
      <c r="G194" s="202">
        <v>60000</v>
      </c>
    </row>
    <row r="195" spans="1:7" s="114" customFormat="1" ht="24.75" customHeight="1" x14ac:dyDescent="0.2">
      <c r="A195" s="482" t="s">
        <v>875</v>
      </c>
      <c r="B195" s="482"/>
      <c r="C195" s="482"/>
      <c r="D195" s="482"/>
      <c r="E195" s="310">
        <f>E202</f>
        <v>90000</v>
      </c>
      <c r="F195" s="310">
        <f>F202</f>
        <v>95000</v>
      </c>
      <c r="G195" s="310">
        <f>G202</f>
        <v>60000</v>
      </c>
    </row>
    <row r="196" spans="1:7" s="114" customFormat="1" ht="12.75" x14ac:dyDescent="0.2">
      <c r="A196" s="290" t="s">
        <v>894</v>
      </c>
      <c r="B196" s="291"/>
      <c r="C196" s="291"/>
      <c r="D196" s="292"/>
      <c r="E196" s="378"/>
      <c r="F196" s="378"/>
      <c r="G196" s="378"/>
    </row>
    <row r="197" spans="1:7" s="114" customFormat="1" ht="12.75" x14ac:dyDescent="0.2">
      <c r="A197" s="474" t="s">
        <v>866</v>
      </c>
      <c r="B197" s="475"/>
      <c r="C197" s="475"/>
      <c r="D197" s="475"/>
      <c r="E197" s="43">
        <v>1000</v>
      </c>
      <c r="F197" s="43"/>
      <c r="G197" s="43"/>
    </row>
    <row r="198" spans="1:7" s="114" customFormat="1" ht="25.5" customHeight="1" x14ac:dyDescent="0.2">
      <c r="A198" s="465" t="s">
        <v>901</v>
      </c>
      <c r="B198" s="466"/>
      <c r="C198" s="466"/>
      <c r="D198" s="467"/>
      <c r="E198" s="43">
        <v>23000</v>
      </c>
      <c r="F198" s="43">
        <v>25000</v>
      </c>
      <c r="G198" s="43">
        <v>10000</v>
      </c>
    </row>
    <row r="199" spans="1:7" s="114" customFormat="1" ht="12.75" x14ac:dyDescent="0.2">
      <c r="A199" s="474" t="s">
        <v>869</v>
      </c>
      <c r="B199" s="475"/>
      <c r="C199" s="475"/>
      <c r="D199" s="483"/>
      <c r="E199" s="43">
        <v>60000</v>
      </c>
      <c r="F199" s="43"/>
      <c r="G199" s="43"/>
    </row>
    <row r="200" spans="1:7" s="114" customFormat="1" ht="12.75" x14ac:dyDescent="0.2">
      <c r="A200" s="474" t="s">
        <v>899</v>
      </c>
      <c r="B200" s="475"/>
      <c r="C200" s="475"/>
      <c r="D200" s="483"/>
      <c r="E200" s="43">
        <v>6000</v>
      </c>
      <c r="F200" s="43">
        <v>70000</v>
      </c>
      <c r="G200" s="43">
        <v>50000</v>
      </c>
    </row>
    <row r="201" spans="1:7" s="114" customFormat="1" ht="12.75" x14ac:dyDescent="0.2">
      <c r="A201" s="387"/>
      <c r="B201" s="388"/>
      <c r="C201" s="388"/>
      <c r="D201" s="389"/>
      <c r="E201" s="43"/>
      <c r="F201" s="43"/>
      <c r="G201" s="43"/>
    </row>
    <row r="202" spans="1:7" s="114" customFormat="1" ht="25.5" x14ac:dyDescent="0.2">
      <c r="A202" s="476">
        <v>4</v>
      </c>
      <c r="B202" s="477"/>
      <c r="C202" s="478"/>
      <c r="D202" s="19" t="s">
        <v>5</v>
      </c>
      <c r="E202" s="202">
        <f>E203</f>
        <v>90000</v>
      </c>
      <c r="F202" s="202">
        <f>F203</f>
        <v>95000</v>
      </c>
      <c r="G202" s="202">
        <f>G203</f>
        <v>60000</v>
      </c>
    </row>
    <row r="203" spans="1:7" s="114" customFormat="1" ht="25.5" x14ac:dyDescent="0.2">
      <c r="A203" s="479">
        <v>42</v>
      </c>
      <c r="B203" s="480"/>
      <c r="C203" s="481"/>
      <c r="D203" s="19" t="s">
        <v>91</v>
      </c>
      <c r="E203" s="202">
        <v>90000</v>
      </c>
      <c r="F203" s="202">
        <v>95000</v>
      </c>
      <c r="G203" s="202">
        <v>60000</v>
      </c>
    </row>
    <row r="204" spans="1:7" s="114" customFormat="1" ht="24.75" customHeight="1" x14ac:dyDescent="0.2">
      <c r="A204" s="482" t="s">
        <v>902</v>
      </c>
      <c r="B204" s="482"/>
      <c r="C204" s="482"/>
      <c r="D204" s="482"/>
      <c r="E204" s="310">
        <f>E208</f>
        <v>30000</v>
      </c>
      <c r="F204" s="310">
        <f t="shared" ref="F204:G204" si="45">F208</f>
        <v>20000</v>
      </c>
      <c r="G204" s="310">
        <f t="shared" si="45"/>
        <v>0</v>
      </c>
    </row>
    <row r="205" spans="1:7" s="114" customFormat="1" ht="12.75" x14ac:dyDescent="0.2">
      <c r="A205" s="290" t="s">
        <v>386</v>
      </c>
      <c r="B205" s="291"/>
      <c r="C205" s="291"/>
      <c r="D205" s="292"/>
      <c r="E205" s="378"/>
      <c r="F205" s="379"/>
      <c r="G205" s="379"/>
    </row>
    <row r="206" spans="1:7" s="114" customFormat="1" ht="12.75" x14ac:dyDescent="0.2">
      <c r="A206" s="474" t="s">
        <v>866</v>
      </c>
      <c r="B206" s="475"/>
      <c r="C206" s="475"/>
      <c r="D206" s="475"/>
      <c r="E206" s="43">
        <f>E204-E207</f>
        <v>6000</v>
      </c>
      <c r="F206" s="43">
        <f>F204-F207</f>
        <v>4000</v>
      </c>
      <c r="G206" s="377"/>
    </row>
    <row r="207" spans="1:7" s="114" customFormat="1" ht="12.75" x14ac:dyDescent="0.2">
      <c r="A207" s="474" t="s">
        <v>869</v>
      </c>
      <c r="B207" s="475"/>
      <c r="C207" s="475"/>
      <c r="D207" s="483"/>
      <c r="E207" s="43">
        <v>24000</v>
      </c>
      <c r="F207" s="43">
        <v>16000</v>
      </c>
      <c r="G207" s="377"/>
    </row>
    <row r="208" spans="1:7" s="114" customFormat="1" ht="25.5" x14ac:dyDescent="0.2">
      <c r="A208" s="476">
        <v>4</v>
      </c>
      <c r="B208" s="477"/>
      <c r="C208" s="478"/>
      <c r="D208" s="19" t="s">
        <v>5</v>
      </c>
      <c r="E208" s="202">
        <f>E209</f>
        <v>30000</v>
      </c>
      <c r="F208" s="202">
        <f t="shared" ref="F208:G208" si="46">F209</f>
        <v>20000</v>
      </c>
      <c r="G208" s="202">
        <f t="shared" si="46"/>
        <v>0</v>
      </c>
    </row>
    <row r="209" spans="1:7" s="114" customFormat="1" ht="25.5" x14ac:dyDescent="0.2">
      <c r="A209" s="479">
        <v>42</v>
      </c>
      <c r="B209" s="480"/>
      <c r="C209" s="481"/>
      <c r="D209" s="19" t="s">
        <v>91</v>
      </c>
      <c r="E209" s="202">
        <v>30000</v>
      </c>
      <c r="F209" s="202">
        <v>20000</v>
      </c>
      <c r="G209" s="336"/>
    </row>
    <row r="210" spans="1:7" s="114" customFormat="1" ht="24.75" customHeight="1" x14ac:dyDescent="0.2">
      <c r="A210" s="482" t="s">
        <v>925</v>
      </c>
      <c r="B210" s="482"/>
      <c r="C210" s="482"/>
      <c r="D210" s="482"/>
      <c r="E210" s="313">
        <f>E215</f>
        <v>250000</v>
      </c>
      <c r="F210" s="313">
        <f t="shared" ref="F210:G210" si="47">F215</f>
        <v>200000</v>
      </c>
      <c r="G210" s="313">
        <f t="shared" si="47"/>
        <v>0</v>
      </c>
    </row>
    <row r="211" spans="1:7" s="114" customFormat="1" ht="12.75" x14ac:dyDescent="0.2">
      <c r="A211" s="290" t="s">
        <v>386</v>
      </c>
      <c r="B211" s="291"/>
      <c r="C211" s="291"/>
      <c r="D211" s="292"/>
      <c r="E211" s="293"/>
      <c r="F211" s="293"/>
      <c r="G211" s="293"/>
    </row>
    <row r="212" spans="1:7" s="114" customFormat="1" ht="12.75" x14ac:dyDescent="0.2">
      <c r="A212" s="474" t="s">
        <v>866</v>
      </c>
      <c r="B212" s="475"/>
      <c r="C212" s="475"/>
      <c r="D212" s="475"/>
      <c r="E212" s="323">
        <f>E210-E214</f>
        <v>37500</v>
      </c>
      <c r="F212" s="323">
        <f>F210-F213-F214</f>
        <v>15200</v>
      </c>
      <c r="G212" s="322"/>
    </row>
    <row r="213" spans="1:7" s="114" customFormat="1" ht="24.75" customHeight="1" x14ac:dyDescent="0.2">
      <c r="A213" s="465" t="s">
        <v>918</v>
      </c>
      <c r="B213" s="466"/>
      <c r="C213" s="466"/>
      <c r="D213" s="467"/>
      <c r="E213" s="323"/>
      <c r="F213" s="323">
        <v>14800</v>
      </c>
      <c r="G213" s="322"/>
    </row>
    <row r="214" spans="1:7" s="114" customFormat="1" ht="12.75" x14ac:dyDescent="0.2">
      <c r="A214" s="474" t="s">
        <v>874</v>
      </c>
      <c r="B214" s="475"/>
      <c r="C214" s="475"/>
      <c r="D214" s="483"/>
      <c r="E214" s="285">
        <v>212500</v>
      </c>
      <c r="F214" s="285">
        <v>170000</v>
      </c>
      <c r="G214" s="285"/>
    </row>
    <row r="215" spans="1:7" s="114" customFormat="1" ht="25.5" x14ac:dyDescent="0.2">
      <c r="A215" s="476">
        <v>4</v>
      </c>
      <c r="B215" s="477"/>
      <c r="C215" s="478"/>
      <c r="D215" s="19" t="s">
        <v>5</v>
      </c>
      <c r="E215" s="202">
        <f>E216</f>
        <v>250000</v>
      </c>
      <c r="F215" s="202">
        <f t="shared" ref="F215:G215" si="48">F216</f>
        <v>200000</v>
      </c>
      <c r="G215" s="202">
        <f t="shared" si="48"/>
        <v>0</v>
      </c>
    </row>
    <row r="216" spans="1:7" s="114" customFormat="1" ht="25.5" x14ac:dyDescent="0.2">
      <c r="A216" s="479">
        <v>42</v>
      </c>
      <c r="B216" s="480"/>
      <c r="C216" s="481"/>
      <c r="D216" s="19" t="s">
        <v>91</v>
      </c>
      <c r="E216" s="202">
        <v>250000</v>
      </c>
      <c r="F216" s="202">
        <v>200000</v>
      </c>
      <c r="G216" s="336"/>
    </row>
    <row r="217" spans="1:7" s="114" customFormat="1" ht="26.25" customHeight="1" x14ac:dyDescent="0.2">
      <c r="A217" s="482" t="s">
        <v>877</v>
      </c>
      <c r="B217" s="482"/>
      <c r="C217" s="482"/>
      <c r="D217" s="482"/>
      <c r="E217" s="381"/>
      <c r="F217" s="380"/>
      <c r="G217" s="310">
        <f>G220</f>
        <v>320000</v>
      </c>
    </row>
    <row r="218" spans="1:7" s="114" customFormat="1" ht="12.75" x14ac:dyDescent="0.2">
      <c r="A218" s="290" t="s">
        <v>894</v>
      </c>
      <c r="B218" s="291"/>
      <c r="C218" s="291"/>
      <c r="D218" s="292"/>
      <c r="E218" s="378"/>
      <c r="F218" s="379"/>
      <c r="G218" s="378"/>
    </row>
    <row r="219" spans="1:7" s="114" customFormat="1" ht="12.75" x14ac:dyDescent="0.2">
      <c r="A219" s="474" t="s">
        <v>905</v>
      </c>
      <c r="B219" s="475"/>
      <c r="C219" s="475"/>
      <c r="D219" s="483"/>
      <c r="E219" s="43"/>
      <c r="F219" s="377"/>
      <c r="G219" s="43">
        <f>G220</f>
        <v>320000</v>
      </c>
    </row>
    <row r="220" spans="1:7" s="114" customFormat="1" ht="25.5" x14ac:dyDescent="0.2">
      <c r="A220" s="476">
        <v>4</v>
      </c>
      <c r="B220" s="477"/>
      <c r="C220" s="478"/>
      <c r="D220" s="19" t="s">
        <v>5</v>
      </c>
      <c r="E220" s="202"/>
      <c r="F220" s="336"/>
      <c r="G220" s="202">
        <f>G221</f>
        <v>320000</v>
      </c>
    </row>
    <row r="221" spans="1:7" s="114" customFormat="1" ht="25.5" x14ac:dyDescent="0.2">
      <c r="A221" s="479">
        <v>42</v>
      </c>
      <c r="B221" s="480"/>
      <c r="C221" s="481"/>
      <c r="D221" s="19" t="s">
        <v>91</v>
      </c>
      <c r="E221" s="202"/>
      <c r="F221" s="336"/>
      <c r="G221" s="202">
        <v>320000</v>
      </c>
    </row>
    <row r="222" spans="1:7" s="114" customFormat="1" ht="12.75" x14ac:dyDescent="0.2">
      <c r="A222" s="482" t="s">
        <v>881</v>
      </c>
      <c r="B222" s="482"/>
      <c r="C222" s="482"/>
      <c r="D222" s="482"/>
      <c r="E222" s="381"/>
      <c r="F222" s="310">
        <f>F226</f>
        <v>10000</v>
      </c>
      <c r="G222" s="310">
        <f>G226</f>
        <v>18000</v>
      </c>
    </row>
    <row r="223" spans="1:7" s="114" customFormat="1" ht="12.75" x14ac:dyDescent="0.2">
      <c r="A223" s="290" t="s">
        <v>386</v>
      </c>
      <c r="B223" s="291"/>
      <c r="C223" s="291"/>
      <c r="D223" s="292"/>
      <c r="E223" s="378"/>
      <c r="F223" s="378"/>
      <c r="G223" s="378"/>
    </row>
    <row r="224" spans="1:7" s="114" customFormat="1" ht="12.75" x14ac:dyDescent="0.2">
      <c r="A224" s="474" t="s">
        <v>866</v>
      </c>
      <c r="B224" s="475"/>
      <c r="C224" s="475"/>
      <c r="D224" s="475"/>
      <c r="E224" s="43"/>
      <c r="F224" s="43">
        <v>10000</v>
      </c>
      <c r="G224" s="43"/>
    </row>
    <row r="225" spans="1:7" s="114" customFormat="1" ht="27" customHeight="1" x14ac:dyDescent="0.2">
      <c r="A225" s="465" t="s">
        <v>901</v>
      </c>
      <c r="B225" s="466"/>
      <c r="C225" s="466"/>
      <c r="D225" s="467"/>
      <c r="E225" s="43"/>
      <c r="F225" s="43"/>
      <c r="G225" s="43">
        <v>18000</v>
      </c>
    </row>
    <row r="226" spans="1:7" s="114" customFormat="1" ht="25.5" x14ac:dyDescent="0.2">
      <c r="A226" s="476">
        <v>4</v>
      </c>
      <c r="B226" s="477"/>
      <c r="C226" s="478"/>
      <c r="D226" s="19" t="s">
        <v>5</v>
      </c>
      <c r="E226" s="202"/>
      <c r="F226" s="202">
        <f>F227</f>
        <v>10000</v>
      </c>
      <c r="G226" s="202">
        <f>G227</f>
        <v>18000</v>
      </c>
    </row>
    <row r="227" spans="1:7" s="114" customFormat="1" ht="25.5" x14ac:dyDescent="0.2">
      <c r="A227" s="479">
        <v>42</v>
      </c>
      <c r="B227" s="480"/>
      <c r="C227" s="481"/>
      <c r="D227" s="19" t="s">
        <v>91</v>
      </c>
      <c r="E227" s="202"/>
      <c r="F227" s="202">
        <v>10000</v>
      </c>
      <c r="G227" s="202">
        <v>18000</v>
      </c>
    </row>
    <row r="228" spans="1:7" s="114" customFormat="1" ht="12.75" x14ac:dyDescent="0.2">
      <c r="A228" s="566" t="s">
        <v>368</v>
      </c>
      <c r="B228" s="567"/>
      <c r="C228" s="567"/>
      <c r="D228" s="567"/>
      <c r="E228" s="521">
        <f t="shared" ref="E228:G228" si="49">E230</f>
        <v>9000</v>
      </c>
      <c r="F228" s="521">
        <f t="shared" si="49"/>
        <v>0</v>
      </c>
      <c r="G228" s="521">
        <f t="shared" si="49"/>
        <v>0</v>
      </c>
    </row>
    <row r="229" spans="1:7" s="114" customFormat="1" ht="12.75" x14ac:dyDescent="0.2">
      <c r="A229" s="296" t="s">
        <v>76</v>
      </c>
      <c r="B229" s="297"/>
      <c r="C229" s="297"/>
      <c r="D229" s="297"/>
      <c r="E229" s="522"/>
      <c r="F229" s="522"/>
      <c r="G229" s="522"/>
    </row>
    <row r="230" spans="1:7" s="114" customFormat="1" ht="12.75" x14ac:dyDescent="0.2">
      <c r="A230" s="495" t="s">
        <v>516</v>
      </c>
      <c r="B230" s="496"/>
      <c r="C230" s="496"/>
      <c r="D230" s="510"/>
      <c r="E230" s="564">
        <f>E234</f>
        <v>9000</v>
      </c>
      <c r="F230" s="564">
        <f t="shared" ref="F230:G230" si="50">F234</f>
        <v>0</v>
      </c>
      <c r="G230" s="564">
        <f t="shared" si="50"/>
        <v>0</v>
      </c>
    </row>
    <row r="231" spans="1:7" s="114" customFormat="1" ht="12.75" x14ac:dyDescent="0.2">
      <c r="A231" s="487" t="s">
        <v>873</v>
      </c>
      <c r="B231" s="488"/>
      <c r="C231" s="488"/>
      <c r="D231" s="488"/>
      <c r="E231" s="565"/>
      <c r="F231" s="565"/>
      <c r="G231" s="565"/>
    </row>
    <row r="232" spans="1:7" s="114" customFormat="1" ht="12.75" x14ac:dyDescent="0.2">
      <c r="A232" s="290" t="s">
        <v>392</v>
      </c>
      <c r="B232" s="291"/>
      <c r="C232" s="291"/>
      <c r="D232" s="292"/>
      <c r="E232" s="293"/>
      <c r="F232" s="293"/>
      <c r="G232" s="293"/>
    </row>
    <row r="233" spans="1:7" s="114" customFormat="1" ht="12.75" x14ac:dyDescent="0.2">
      <c r="A233" s="474" t="s">
        <v>899</v>
      </c>
      <c r="B233" s="475"/>
      <c r="C233" s="475"/>
      <c r="D233" s="483"/>
      <c r="E233" s="285">
        <f>E230</f>
        <v>9000</v>
      </c>
      <c r="F233" s="285"/>
      <c r="G233" s="285"/>
    </row>
    <row r="234" spans="1:7" s="114" customFormat="1" ht="25.5" x14ac:dyDescent="0.2">
      <c r="A234" s="476">
        <v>4</v>
      </c>
      <c r="B234" s="477"/>
      <c r="C234" s="478"/>
      <c r="D234" s="36" t="s">
        <v>5</v>
      </c>
      <c r="E234" s="271">
        <f>E235</f>
        <v>9000</v>
      </c>
      <c r="F234" s="271">
        <f t="shared" ref="F234:G234" si="51">F235</f>
        <v>0</v>
      </c>
      <c r="G234" s="271">
        <f t="shared" si="51"/>
        <v>0</v>
      </c>
    </row>
    <row r="235" spans="1:7" s="114" customFormat="1" ht="25.5" x14ac:dyDescent="0.2">
      <c r="A235" s="479">
        <v>42</v>
      </c>
      <c r="B235" s="480"/>
      <c r="C235" s="481"/>
      <c r="D235" s="36" t="s">
        <v>91</v>
      </c>
      <c r="E235" s="271">
        <v>9000</v>
      </c>
      <c r="F235" s="271"/>
      <c r="G235" s="271"/>
    </row>
    <row r="236" spans="1:7" s="114" customFormat="1" ht="12.75" x14ac:dyDescent="0.2">
      <c r="A236" s="289" t="s">
        <v>369</v>
      </c>
      <c r="B236" s="289"/>
      <c r="C236" s="289"/>
      <c r="D236" s="289"/>
      <c r="E236" s="288">
        <f>E237+E244+E249</f>
        <v>25830</v>
      </c>
      <c r="F236" s="288">
        <f t="shared" ref="F236:G236" si="52">F237+F244+F249</f>
        <v>67400</v>
      </c>
      <c r="G236" s="288">
        <f t="shared" si="52"/>
        <v>29900</v>
      </c>
    </row>
    <row r="237" spans="1:7" s="114" customFormat="1" ht="12.75" x14ac:dyDescent="0.2">
      <c r="A237" s="306" t="s">
        <v>517</v>
      </c>
      <c r="B237" s="306"/>
      <c r="C237" s="306"/>
      <c r="D237" s="306"/>
      <c r="E237" s="318">
        <f t="shared" ref="E237:G237" si="53">E242</f>
        <v>16200</v>
      </c>
      <c r="F237" s="318">
        <f t="shared" si="53"/>
        <v>20000</v>
      </c>
      <c r="G237" s="318">
        <f t="shared" si="53"/>
        <v>16400</v>
      </c>
    </row>
    <row r="238" spans="1:7" s="114" customFormat="1" ht="12.75" x14ac:dyDescent="0.2">
      <c r="A238" s="290" t="s">
        <v>393</v>
      </c>
      <c r="B238" s="291"/>
      <c r="C238" s="291"/>
      <c r="D238" s="292"/>
      <c r="E238" s="293"/>
      <c r="F238" s="293"/>
      <c r="G238" s="293"/>
    </row>
    <row r="239" spans="1:7" s="114" customFormat="1" ht="12.75" x14ac:dyDescent="0.2">
      <c r="A239" s="474" t="s">
        <v>866</v>
      </c>
      <c r="B239" s="475"/>
      <c r="C239" s="475"/>
      <c r="D239" s="475"/>
      <c r="E239" s="322"/>
      <c r="F239" s="323">
        <f>F237-F240</f>
        <v>14000</v>
      </c>
      <c r="G239" s="323">
        <f>G237-G240</f>
        <v>10000</v>
      </c>
    </row>
    <row r="240" spans="1:7" s="114" customFormat="1" ht="12.75" x14ac:dyDescent="0.2">
      <c r="A240" s="474" t="s">
        <v>869</v>
      </c>
      <c r="B240" s="475"/>
      <c r="C240" s="475"/>
      <c r="D240" s="483"/>
      <c r="E240" s="285">
        <f>E237-E241</f>
        <v>15200</v>
      </c>
      <c r="F240" s="285">
        <v>6000</v>
      </c>
      <c r="G240" s="285">
        <v>6400</v>
      </c>
    </row>
    <row r="241" spans="1:7" s="114" customFormat="1" ht="12.75" x14ac:dyDescent="0.2">
      <c r="A241" s="474" t="s">
        <v>899</v>
      </c>
      <c r="B241" s="475"/>
      <c r="C241" s="475"/>
      <c r="D241" s="483"/>
      <c r="E241" s="285">
        <v>1000</v>
      </c>
      <c r="F241" s="285"/>
      <c r="G241" s="285"/>
    </row>
    <row r="242" spans="1:7" s="114" customFormat="1" ht="12.75" x14ac:dyDescent="0.2">
      <c r="A242" s="476">
        <v>3</v>
      </c>
      <c r="B242" s="477"/>
      <c r="C242" s="478"/>
      <c r="D242" s="19" t="s">
        <v>18</v>
      </c>
      <c r="E242" s="66">
        <f>E243</f>
        <v>16200</v>
      </c>
      <c r="F242" s="66">
        <f t="shared" ref="F242:G242" si="54">F243</f>
        <v>20000</v>
      </c>
      <c r="G242" s="66">
        <f t="shared" si="54"/>
        <v>16400</v>
      </c>
    </row>
    <row r="243" spans="1:7" s="114" customFormat="1" ht="12.75" x14ac:dyDescent="0.2">
      <c r="A243" s="479">
        <v>32</v>
      </c>
      <c r="B243" s="480"/>
      <c r="C243" s="481"/>
      <c r="D243" s="19" t="s">
        <v>32</v>
      </c>
      <c r="E243" s="202">
        <f>10000+1600+2200+2400</f>
        <v>16200</v>
      </c>
      <c r="F243" s="202">
        <v>20000</v>
      </c>
      <c r="G243" s="202">
        <v>16400</v>
      </c>
    </row>
    <row r="244" spans="1:7" s="114" customFormat="1" ht="24.75" customHeight="1" x14ac:dyDescent="0.2">
      <c r="A244" s="497" t="s">
        <v>518</v>
      </c>
      <c r="B244" s="498"/>
      <c r="C244" s="498"/>
      <c r="D244" s="499"/>
      <c r="E244" s="309">
        <f>E247</f>
        <v>9630</v>
      </c>
      <c r="F244" s="309">
        <f t="shared" ref="F244:G244" si="55">F247</f>
        <v>9400</v>
      </c>
      <c r="G244" s="309">
        <f t="shared" si="55"/>
        <v>9500</v>
      </c>
    </row>
    <row r="245" spans="1:7" s="114" customFormat="1" ht="12.75" x14ac:dyDescent="0.2">
      <c r="A245" s="290" t="s">
        <v>394</v>
      </c>
      <c r="B245" s="291"/>
      <c r="C245" s="291"/>
      <c r="D245" s="292"/>
      <c r="E245" s="293"/>
      <c r="F245" s="293"/>
      <c r="G245" s="293"/>
    </row>
    <row r="246" spans="1:7" s="114" customFormat="1" ht="12.75" x14ac:dyDescent="0.2">
      <c r="A246" s="474" t="s">
        <v>866</v>
      </c>
      <c r="B246" s="475"/>
      <c r="C246" s="475"/>
      <c r="D246" s="475"/>
      <c r="E246" s="285">
        <f>E244</f>
        <v>9630</v>
      </c>
      <c r="F246" s="285">
        <f>F247</f>
        <v>9400</v>
      </c>
      <c r="G246" s="285">
        <f>G247</f>
        <v>9500</v>
      </c>
    </row>
    <row r="247" spans="1:7" s="114" customFormat="1" ht="12.75" x14ac:dyDescent="0.2">
      <c r="A247" s="476">
        <v>3</v>
      </c>
      <c r="B247" s="477"/>
      <c r="C247" s="478"/>
      <c r="D247" s="19" t="s">
        <v>18</v>
      </c>
      <c r="E247" s="66">
        <f>E248</f>
        <v>9630</v>
      </c>
      <c r="F247" s="66">
        <f t="shared" ref="F247:G247" si="56">F248</f>
        <v>9400</v>
      </c>
      <c r="G247" s="66">
        <f t="shared" si="56"/>
        <v>9500</v>
      </c>
    </row>
    <row r="248" spans="1:7" s="114" customFormat="1" ht="12.75" x14ac:dyDescent="0.2">
      <c r="A248" s="479">
        <v>32</v>
      </c>
      <c r="B248" s="480"/>
      <c r="C248" s="481"/>
      <c r="D248" s="19" t="s">
        <v>32</v>
      </c>
      <c r="E248" s="202">
        <f>500+8130+1000</f>
        <v>9630</v>
      </c>
      <c r="F248" s="202">
        <v>9400</v>
      </c>
      <c r="G248" s="202">
        <v>9500</v>
      </c>
    </row>
    <row r="249" spans="1:7" s="114" customFormat="1" ht="24.75" customHeight="1" x14ac:dyDescent="0.2">
      <c r="A249" s="497" t="s">
        <v>519</v>
      </c>
      <c r="B249" s="498"/>
      <c r="C249" s="498"/>
      <c r="D249" s="499"/>
      <c r="E249" s="309">
        <f>E253</f>
        <v>0</v>
      </c>
      <c r="F249" s="309">
        <f>F253</f>
        <v>38000</v>
      </c>
      <c r="G249" s="309">
        <f>G253</f>
        <v>4000</v>
      </c>
    </row>
    <row r="250" spans="1:7" s="114" customFormat="1" ht="12.75" x14ac:dyDescent="0.2">
      <c r="A250" s="290" t="s">
        <v>395</v>
      </c>
      <c r="B250" s="291"/>
      <c r="C250" s="291"/>
      <c r="D250" s="292"/>
      <c r="E250" s="293"/>
      <c r="F250" s="293"/>
      <c r="G250" s="293"/>
    </row>
    <row r="251" spans="1:7" s="114" customFormat="1" ht="12.75" x14ac:dyDescent="0.2">
      <c r="A251" s="474" t="s">
        <v>866</v>
      </c>
      <c r="B251" s="475"/>
      <c r="C251" s="475"/>
      <c r="D251" s="475"/>
      <c r="E251" s="322"/>
      <c r="F251" s="322"/>
      <c r="G251" s="323">
        <v>4000</v>
      </c>
    </row>
    <row r="252" spans="1:7" s="114" customFormat="1" ht="12.75" x14ac:dyDescent="0.2">
      <c r="A252" s="474" t="s">
        <v>869</v>
      </c>
      <c r="B252" s="475"/>
      <c r="C252" s="475"/>
      <c r="D252" s="483"/>
      <c r="E252" s="285"/>
      <c r="F252" s="285">
        <f>F253</f>
        <v>38000</v>
      </c>
      <c r="G252" s="285"/>
    </row>
    <row r="253" spans="1:7" s="114" customFormat="1" ht="25.5" x14ac:dyDescent="0.2">
      <c r="A253" s="476">
        <v>4</v>
      </c>
      <c r="B253" s="477"/>
      <c r="C253" s="478"/>
      <c r="D253" s="36" t="s">
        <v>5</v>
      </c>
      <c r="E253" s="66">
        <f>E254</f>
        <v>0</v>
      </c>
      <c r="F253" s="66">
        <f t="shared" ref="F253:G253" si="57">F254</f>
        <v>38000</v>
      </c>
      <c r="G253" s="66">
        <f t="shared" si="57"/>
        <v>4000</v>
      </c>
    </row>
    <row r="254" spans="1:7" s="114" customFormat="1" ht="25.5" x14ac:dyDescent="0.2">
      <c r="A254" s="479">
        <v>42</v>
      </c>
      <c r="B254" s="480"/>
      <c r="C254" s="481"/>
      <c r="D254" s="36" t="s">
        <v>91</v>
      </c>
      <c r="E254" s="202"/>
      <c r="F254" s="202">
        <v>38000</v>
      </c>
      <c r="G254" s="202">
        <v>4000</v>
      </c>
    </row>
    <row r="255" spans="1:7" s="114" customFormat="1" ht="12.75" x14ac:dyDescent="0.2">
      <c r="A255" s="289" t="s">
        <v>370</v>
      </c>
      <c r="B255" s="289"/>
      <c r="C255" s="289"/>
      <c r="D255" s="289"/>
      <c r="E255" s="298">
        <f t="shared" ref="E255:G255" si="58">E256</f>
        <v>18300</v>
      </c>
      <c r="F255" s="298">
        <f t="shared" si="58"/>
        <v>20400</v>
      </c>
      <c r="G255" s="298">
        <f t="shared" si="58"/>
        <v>20400</v>
      </c>
    </row>
    <row r="256" spans="1:7" s="114" customFormat="1" ht="12.75" x14ac:dyDescent="0.2">
      <c r="A256" s="306" t="s">
        <v>520</v>
      </c>
      <c r="B256" s="306"/>
      <c r="C256" s="306"/>
      <c r="D256" s="306"/>
      <c r="E256" s="317">
        <f t="shared" ref="E256:G256" si="59">E260</f>
        <v>18300</v>
      </c>
      <c r="F256" s="317">
        <f t="shared" si="59"/>
        <v>20400</v>
      </c>
      <c r="G256" s="317">
        <f t="shared" si="59"/>
        <v>20400</v>
      </c>
    </row>
    <row r="257" spans="1:7" s="114" customFormat="1" ht="12.75" x14ac:dyDescent="0.2">
      <c r="A257" s="558" t="s">
        <v>396</v>
      </c>
      <c r="B257" s="559"/>
      <c r="C257" s="559"/>
      <c r="D257" s="559"/>
      <c r="E257" s="559"/>
      <c r="F257" s="559"/>
      <c r="G257" s="560"/>
    </row>
    <row r="258" spans="1:7" s="114" customFormat="1" ht="12.75" x14ac:dyDescent="0.2">
      <c r="A258" s="474" t="s">
        <v>866</v>
      </c>
      <c r="B258" s="475"/>
      <c r="C258" s="475"/>
      <c r="D258" s="475"/>
      <c r="E258" s="285"/>
      <c r="F258" s="285">
        <f>F256</f>
        <v>20400</v>
      </c>
      <c r="G258" s="285">
        <f>G256-G259</f>
        <v>10400</v>
      </c>
    </row>
    <row r="259" spans="1:7" s="114" customFormat="1" ht="12.75" x14ac:dyDescent="0.2">
      <c r="A259" s="474" t="s">
        <v>869</v>
      </c>
      <c r="B259" s="475"/>
      <c r="C259" s="475"/>
      <c r="D259" s="483"/>
      <c r="E259" s="285">
        <v>18300</v>
      </c>
      <c r="F259" s="285"/>
      <c r="G259" s="285">
        <v>10000</v>
      </c>
    </row>
    <row r="260" spans="1:7" s="114" customFormat="1" ht="12.75" x14ac:dyDescent="0.2">
      <c r="A260" s="476">
        <v>3</v>
      </c>
      <c r="B260" s="477"/>
      <c r="C260" s="478"/>
      <c r="D260" s="36" t="s">
        <v>18</v>
      </c>
      <c r="E260" s="66">
        <f>E261+E262</f>
        <v>18300</v>
      </c>
      <c r="F260" s="66">
        <f t="shared" ref="F260:G260" si="60">F261+F262</f>
        <v>20400</v>
      </c>
      <c r="G260" s="66">
        <f t="shared" si="60"/>
        <v>20400</v>
      </c>
    </row>
    <row r="261" spans="1:7" s="114" customFormat="1" ht="12.75" x14ac:dyDescent="0.2">
      <c r="A261" s="479">
        <v>32</v>
      </c>
      <c r="B261" s="480"/>
      <c r="C261" s="481"/>
      <c r="D261" s="36" t="s">
        <v>32</v>
      </c>
      <c r="E261" s="202">
        <f>9900+400+600+5000+2000</f>
        <v>17900</v>
      </c>
      <c r="F261" s="202">
        <v>20000</v>
      </c>
      <c r="G261" s="202">
        <v>20000</v>
      </c>
    </row>
    <row r="262" spans="1:7" s="114" customFormat="1" ht="12.75" x14ac:dyDescent="0.2">
      <c r="A262" s="479">
        <v>35</v>
      </c>
      <c r="B262" s="480"/>
      <c r="C262" s="481"/>
      <c r="D262" s="36" t="s">
        <v>46</v>
      </c>
      <c r="E262" s="202">
        <v>400</v>
      </c>
      <c r="F262" s="202">
        <v>400</v>
      </c>
      <c r="G262" s="202">
        <v>400</v>
      </c>
    </row>
    <row r="263" spans="1:7" s="114" customFormat="1" ht="12.75" x14ac:dyDescent="0.2">
      <c r="A263" s="492" t="s">
        <v>371</v>
      </c>
      <c r="B263" s="493"/>
      <c r="C263" s="493"/>
      <c r="D263" s="494"/>
      <c r="E263" s="282">
        <f>E264+E271+E281+E287</f>
        <v>207500</v>
      </c>
      <c r="F263" s="282">
        <f>F264+F271+F281+F287+F295+F301+F307</f>
        <v>185000</v>
      </c>
      <c r="G263" s="282">
        <f>G264+G271+G281+G287+G295+G301+G307</f>
        <v>309000</v>
      </c>
    </row>
    <row r="264" spans="1:7" s="114" customFormat="1" ht="24.75" customHeight="1" x14ac:dyDescent="0.2">
      <c r="A264" s="497" t="s">
        <v>521</v>
      </c>
      <c r="B264" s="498"/>
      <c r="C264" s="498"/>
      <c r="D264" s="499"/>
      <c r="E264" s="309">
        <f>E269</f>
        <v>45000</v>
      </c>
      <c r="F264" s="309"/>
      <c r="G264" s="309"/>
    </row>
    <row r="265" spans="1:7" s="114" customFormat="1" ht="12.75" x14ac:dyDescent="0.2">
      <c r="A265" s="290" t="s">
        <v>386</v>
      </c>
      <c r="B265" s="291"/>
      <c r="C265" s="291"/>
      <c r="D265" s="292"/>
      <c r="E265" s="293"/>
      <c r="F265" s="293"/>
      <c r="G265" s="293"/>
    </row>
    <row r="266" spans="1:7" s="114" customFormat="1" ht="12.75" x14ac:dyDescent="0.2">
      <c r="A266" s="474" t="s">
        <v>866</v>
      </c>
      <c r="B266" s="475"/>
      <c r="C266" s="475"/>
      <c r="D266" s="475"/>
      <c r="E266" s="299">
        <f>E264-E268-3140</f>
        <v>10660</v>
      </c>
      <c r="F266" s="300"/>
      <c r="G266" s="300"/>
    </row>
    <row r="267" spans="1:7" s="114" customFormat="1" ht="12.75" x14ac:dyDescent="0.2">
      <c r="A267" s="474" t="s">
        <v>869</v>
      </c>
      <c r="B267" s="475"/>
      <c r="C267" s="475"/>
      <c r="D267" s="483"/>
      <c r="E267" s="299">
        <v>3140</v>
      </c>
      <c r="F267" s="300"/>
      <c r="G267" s="300"/>
    </row>
    <row r="268" spans="1:7" s="114" customFormat="1" ht="12.75" x14ac:dyDescent="0.2">
      <c r="A268" s="474" t="s">
        <v>906</v>
      </c>
      <c r="B268" s="475"/>
      <c r="C268" s="475"/>
      <c r="D268" s="483"/>
      <c r="E268" s="299">
        <v>31200</v>
      </c>
      <c r="F268" s="300"/>
      <c r="G268" s="300"/>
    </row>
    <row r="269" spans="1:7" s="114" customFormat="1" ht="25.5" x14ac:dyDescent="0.2">
      <c r="A269" s="476">
        <v>4</v>
      </c>
      <c r="B269" s="477"/>
      <c r="C269" s="478"/>
      <c r="D269" s="36" t="s">
        <v>5</v>
      </c>
      <c r="E269" s="370">
        <f>E270</f>
        <v>45000</v>
      </c>
      <c r="F269" s="339"/>
      <c r="G269" s="339"/>
    </row>
    <row r="270" spans="1:7" s="114" customFormat="1" ht="25.5" x14ac:dyDescent="0.2">
      <c r="A270" s="479">
        <v>42</v>
      </c>
      <c r="B270" s="480"/>
      <c r="C270" s="481"/>
      <c r="D270" s="36" t="s">
        <v>91</v>
      </c>
      <c r="E270" s="370">
        <v>45000</v>
      </c>
      <c r="F270" s="339"/>
      <c r="G270" s="339"/>
    </row>
    <row r="271" spans="1:7" s="114" customFormat="1" ht="9.75" customHeight="1" x14ac:dyDescent="0.2">
      <c r="A271" s="568" t="s">
        <v>522</v>
      </c>
      <c r="B271" s="569"/>
      <c r="C271" s="569"/>
      <c r="D271" s="570"/>
      <c r="E271" s="518">
        <f t="shared" ref="E271:G271" si="61">E277+E279</f>
        <v>1500</v>
      </c>
      <c r="F271" s="518">
        <f t="shared" si="61"/>
        <v>63000</v>
      </c>
      <c r="G271" s="518">
        <f t="shared" si="61"/>
        <v>3000</v>
      </c>
    </row>
    <row r="272" spans="1:7" s="114" customFormat="1" ht="12.75" customHeight="1" x14ac:dyDescent="0.2">
      <c r="A272" s="571"/>
      <c r="B272" s="572"/>
      <c r="C272" s="572"/>
      <c r="D272" s="573"/>
      <c r="E272" s="519"/>
      <c r="F272" s="519"/>
      <c r="G272" s="519"/>
    </row>
    <row r="273" spans="1:7" s="114" customFormat="1" ht="8.25" customHeight="1" x14ac:dyDescent="0.2">
      <c r="A273" s="574"/>
      <c r="B273" s="575"/>
      <c r="C273" s="575"/>
      <c r="D273" s="576"/>
      <c r="E273" s="520"/>
      <c r="F273" s="520"/>
      <c r="G273" s="520"/>
    </row>
    <row r="274" spans="1:7" s="114" customFormat="1" ht="12.75" x14ac:dyDescent="0.2">
      <c r="A274" s="290" t="s">
        <v>386</v>
      </c>
      <c r="B274" s="291"/>
      <c r="C274" s="291"/>
      <c r="D274" s="292"/>
      <c r="E274" s="293"/>
      <c r="F274" s="293"/>
      <c r="G274" s="293"/>
    </row>
    <row r="275" spans="1:7" s="114" customFormat="1" ht="12.75" x14ac:dyDescent="0.2">
      <c r="A275" s="474" t="s">
        <v>866</v>
      </c>
      <c r="B275" s="475"/>
      <c r="C275" s="475"/>
      <c r="D275" s="475"/>
      <c r="E275" s="285">
        <f>E271-E276</f>
        <v>500</v>
      </c>
      <c r="F275" s="285">
        <f>F271-F276</f>
        <v>12000</v>
      </c>
      <c r="G275" s="285">
        <v>2000</v>
      </c>
    </row>
    <row r="276" spans="1:7" s="114" customFormat="1" ht="12.75" x14ac:dyDescent="0.2">
      <c r="A276" s="474" t="s">
        <v>869</v>
      </c>
      <c r="B276" s="475"/>
      <c r="C276" s="475"/>
      <c r="D276" s="483"/>
      <c r="E276" s="285">
        <v>1000</v>
      </c>
      <c r="F276" s="285">
        <v>51000</v>
      </c>
      <c r="G276" s="285">
        <v>1000</v>
      </c>
    </row>
    <row r="277" spans="1:7" s="114" customFormat="1" ht="12.75" x14ac:dyDescent="0.2">
      <c r="A277" s="476">
        <v>3</v>
      </c>
      <c r="B277" s="477"/>
      <c r="C277" s="478"/>
      <c r="D277" s="36" t="s">
        <v>18</v>
      </c>
      <c r="E277" s="66">
        <f>E278</f>
        <v>1500</v>
      </c>
      <c r="F277" s="66">
        <f t="shared" ref="F277:G277" si="62">F278</f>
        <v>3000</v>
      </c>
      <c r="G277" s="66">
        <f t="shared" si="62"/>
        <v>3000</v>
      </c>
    </row>
    <row r="278" spans="1:7" s="114" customFormat="1" ht="12.75" x14ac:dyDescent="0.2">
      <c r="A278" s="479">
        <v>32</v>
      </c>
      <c r="B278" s="480"/>
      <c r="C278" s="481"/>
      <c r="D278" s="36" t="s">
        <v>32</v>
      </c>
      <c r="E278" s="202">
        <v>1500</v>
      </c>
      <c r="F278" s="202">
        <v>3000</v>
      </c>
      <c r="G278" s="202">
        <v>3000</v>
      </c>
    </row>
    <row r="279" spans="1:7" s="114" customFormat="1" ht="25.5" x14ac:dyDescent="0.2">
      <c r="A279" s="476">
        <v>4</v>
      </c>
      <c r="B279" s="477"/>
      <c r="C279" s="478"/>
      <c r="D279" s="36" t="s">
        <v>5</v>
      </c>
      <c r="E279" s="202">
        <f>E280</f>
        <v>0</v>
      </c>
      <c r="F279" s="202">
        <f t="shared" ref="F279:G279" si="63">F280</f>
        <v>60000</v>
      </c>
      <c r="G279" s="202">
        <f t="shared" si="63"/>
        <v>0</v>
      </c>
    </row>
    <row r="280" spans="1:7" s="114" customFormat="1" ht="25.5" x14ac:dyDescent="0.2">
      <c r="A280" s="118"/>
      <c r="B280" s="119"/>
      <c r="C280" s="119">
        <v>45</v>
      </c>
      <c r="D280" s="120" t="s">
        <v>99</v>
      </c>
      <c r="E280" s="336"/>
      <c r="F280" s="202">
        <v>60000</v>
      </c>
      <c r="G280" s="202"/>
    </row>
    <row r="281" spans="1:7" s="114" customFormat="1" ht="26.25" customHeight="1" x14ac:dyDescent="0.2">
      <c r="A281" s="497" t="s">
        <v>702</v>
      </c>
      <c r="B281" s="498"/>
      <c r="C281" s="498"/>
      <c r="D281" s="499"/>
      <c r="E281" s="313">
        <f>E285</f>
        <v>11000</v>
      </c>
      <c r="F281" s="313">
        <f>F285</f>
        <v>22000</v>
      </c>
      <c r="G281" s="313">
        <f t="shared" ref="G281" si="64">G285</f>
        <v>39000</v>
      </c>
    </row>
    <row r="282" spans="1:7" s="114" customFormat="1" ht="12.75" x14ac:dyDescent="0.2">
      <c r="A282" s="290" t="s">
        <v>386</v>
      </c>
      <c r="B282" s="291"/>
      <c r="C282" s="291"/>
      <c r="D282" s="292"/>
      <c r="E282" s="293"/>
      <c r="F282" s="293"/>
      <c r="G282" s="293"/>
    </row>
    <row r="283" spans="1:7" s="114" customFormat="1" ht="12.75" x14ac:dyDescent="0.2">
      <c r="A283" s="474" t="s">
        <v>866</v>
      </c>
      <c r="B283" s="475"/>
      <c r="C283" s="475"/>
      <c r="D283" s="475"/>
      <c r="E283" s="285">
        <f>E285</f>
        <v>11000</v>
      </c>
      <c r="F283" s="285"/>
      <c r="G283" s="285">
        <f>G281-G284</f>
        <v>5400</v>
      </c>
    </row>
    <row r="284" spans="1:7" s="114" customFormat="1" ht="12.75" x14ac:dyDescent="0.2">
      <c r="A284" s="474" t="s">
        <v>869</v>
      </c>
      <c r="B284" s="475"/>
      <c r="C284" s="475"/>
      <c r="D284" s="483"/>
      <c r="E284" s="285"/>
      <c r="F284" s="285">
        <v>22000</v>
      </c>
      <c r="G284" s="285">
        <v>33600</v>
      </c>
    </row>
    <row r="285" spans="1:7" s="114" customFormat="1" ht="12.75" x14ac:dyDescent="0.2">
      <c r="A285" s="476">
        <v>3</v>
      </c>
      <c r="B285" s="477"/>
      <c r="C285" s="478"/>
      <c r="D285" s="36" t="s">
        <v>18</v>
      </c>
      <c r="E285" s="202">
        <f>E286</f>
        <v>11000</v>
      </c>
      <c r="F285" s="202">
        <f>F286</f>
        <v>22000</v>
      </c>
      <c r="G285" s="202">
        <f>G286</f>
        <v>39000</v>
      </c>
    </row>
    <row r="286" spans="1:7" s="114" customFormat="1" ht="12.75" x14ac:dyDescent="0.2">
      <c r="A286" s="479">
        <v>32</v>
      </c>
      <c r="B286" s="480"/>
      <c r="C286" s="481"/>
      <c r="D286" s="36" t="s">
        <v>32</v>
      </c>
      <c r="E286" s="202">
        <f>6000+5000</f>
        <v>11000</v>
      </c>
      <c r="F286" s="202">
        <v>22000</v>
      </c>
      <c r="G286" s="202">
        <v>39000</v>
      </c>
    </row>
    <row r="287" spans="1:7" s="114" customFormat="1" ht="24.75" customHeight="1" x14ac:dyDescent="0.2">
      <c r="A287" s="471" t="s">
        <v>933</v>
      </c>
      <c r="B287" s="472"/>
      <c r="C287" s="472"/>
      <c r="D287" s="473"/>
      <c r="E287" s="313">
        <f>E293</f>
        <v>150000</v>
      </c>
      <c r="F287" s="313">
        <f>F293</f>
        <v>100000</v>
      </c>
      <c r="G287" s="313">
        <f>G293</f>
        <v>100000</v>
      </c>
    </row>
    <row r="288" spans="1:7" s="114" customFormat="1" ht="12.75" x14ac:dyDescent="0.2">
      <c r="A288" s="290" t="s">
        <v>386</v>
      </c>
      <c r="B288" s="291"/>
      <c r="C288" s="291"/>
      <c r="D288" s="292"/>
      <c r="E288" s="292"/>
      <c r="F288" s="292"/>
      <c r="G288" s="292"/>
    </row>
    <row r="289" spans="1:7" s="114" customFormat="1" ht="12.75" x14ac:dyDescent="0.2">
      <c r="A289" s="474" t="s">
        <v>866</v>
      </c>
      <c r="B289" s="475"/>
      <c r="C289" s="475"/>
      <c r="D289" s="475"/>
      <c r="E289" s="43">
        <f>E287-E291</f>
        <v>75000</v>
      </c>
      <c r="F289" s="382">
        <f>F287-F291-F292</f>
        <v>28800</v>
      </c>
      <c r="G289" s="382">
        <f>50000-G292</f>
        <v>48800</v>
      </c>
    </row>
    <row r="290" spans="1:7" s="114" customFormat="1" ht="24.75" customHeight="1" x14ac:dyDescent="0.2">
      <c r="A290" s="465" t="s">
        <v>918</v>
      </c>
      <c r="B290" s="466"/>
      <c r="C290" s="466"/>
      <c r="D290" s="467"/>
      <c r="E290" s="43"/>
      <c r="F290" s="382"/>
      <c r="G290" s="382"/>
    </row>
    <row r="291" spans="1:7" s="114" customFormat="1" ht="12.75" x14ac:dyDescent="0.2">
      <c r="A291" s="474" t="s">
        <v>869</v>
      </c>
      <c r="B291" s="475"/>
      <c r="C291" s="475"/>
      <c r="D291" s="483"/>
      <c r="E291" s="376">
        <v>75000</v>
      </c>
      <c r="F291" s="376">
        <v>50000</v>
      </c>
      <c r="G291" s="376">
        <v>50000</v>
      </c>
    </row>
    <row r="292" spans="1:7" s="114" customFormat="1" ht="12.75" x14ac:dyDescent="0.2">
      <c r="A292" s="474" t="s">
        <v>906</v>
      </c>
      <c r="B292" s="475"/>
      <c r="C292" s="475"/>
      <c r="D292" s="483"/>
      <c r="E292" s="376"/>
      <c r="F292" s="376">
        <v>21200</v>
      </c>
      <c r="G292" s="376">
        <v>1200</v>
      </c>
    </row>
    <row r="293" spans="1:7" s="114" customFormat="1" ht="25.5" x14ac:dyDescent="0.2">
      <c r="A293" s="476">
        <v>4</v>
      </c>
      <c r="B293" s="477"/>
      <c r="C293" s="478"/>
      <c r="D293" s="36" t="s">
        <v>5</v>
      </c>
      <c r="E293" s="202">
        <f>E294</f>
        <v>150000</v>
      </c>
      <c r="F293" s="202">
        <f>F294</f>
        <v>100000</v>
      </c>
      <c r="G293" s="202">
        <f>G294</f>
        <v>100000</v>
      </c>
    </row>
    <row r="294" spans="1:7" s="114" customFormat="1" ht="25.5" x14ac:dyDescent="0.2">
      <c r="A294" s="479">
        <v>42</v>
      </c>
      <c r="B294" s="480"/>
      <c r="C294" s="481"/>
      <c r="D294" s="36" t="s">
        <v>91</v>
      </c>
      <c r="E294" s="202">
        <v>150000</v>
      </c>
      <c r="F294" s="202">
        <v>100000</v>
      </c>
      <c r="G294" s="202">
        <v>100000</v>
      </c>
    </row>
    <row r="295" spans="1:7" s="114" customFormat="1" ht="24.75" customHeight="1" x14ac:dyDescent="0.2">
      <c r="A295" s="471" t="s">
        <v>878</v>
      </c>
      <c r="B295" s="472"/>
      <c r="C295" s="472"/>
      <c r="D295" s="473"/>
      <c r="E295" s="381"/>
      <c r="F295" s="381"/>
      <c r="G295" s="310">
        <f>G299</f>
        <v>87000</v>
      </c>
    </row>
    <row r="296" spans="1:7" s="114" customFormat="1" ht="12.75" x14ac:dyDescent="0.2">
      <c r="A296" s="290" t="s">
        <v>386</v>
      </c>
      <c r="B296" s="291"/>
      <c r="C296" s="291"/>
      <c r="D296" s="292"/>
      <c r="E296" s="378"/>
      <c r="F296" s="378"/>
      <c r="G296" s="378"/>
    </row>
    <row r="297" spans="1:7" s="114" customFormat="1" ht="25.5" customHeight="1" x14ac:dyDescent="0.2">
      <c r="A297" s="465" t="s">
        <v>918</v>
      </c>
      <c r="B297" s="466"/>
      <c r="C297" s="466"/>
      <c r="D297" s="467"/>
      <c r="E297" s="43"/>
      <c r="F297" s="43"/>
      <c r="G297" s="43">
        <f>G295-G298</f>
        <v>10000</v>
      </c>
    </row>
    <row r="298" spans="1:7" s="114" customFormat="1" ht="12.75" x14ac:dyDescent="0.2">
      <c r="A298" s="474" t="s">
        <v>869</v>
      </c>
      <c r="B298" s="475"/>
      <c r="C298" s="475"/>
      <c r="D298" s="483"/>
      <c r="E298" s="43"/>
      <c r="F298" s="43"/>
      <c r="G298" s="43">
        <v>77000</v>
      </c>
    </row>
    <row r="299" spans="1:7" s="114" customFormat="1" ht="25.5" x14ac:dyDescent="0.2">
      <c r="A299" s="476">
        <v>4</v>
      </c>
      <c r="B299" s="477"/>
      <c r="C299" s="478"/>
      <c r="D299" s="36" t="s">
        <v>5</v>
      </c>
      <c r="E299" s="202"/>
      <c r="F299" s="202"/>
      <c r="G299" s="202">
        <f>G300</f>
        <v>87000</v>
      </c>
    </row>
    <row r="300" spans="1:7" s="114" customFormat="1" ht="25.5" x14ac:dyDescent="0.2">
      <c r="A300" s="479">
        <v>42</v>
      </c>
      <c r="B300" s="480"/>
      <c r="C300" s="481"/>
      <c r="D300" s="36" t="s">
        <v>91</v>
      </c>
      <c r="E300" s="202"/>
      <c r="F300" s="202"/>
      <c r="G300" s="202">
        <v>87000</v>
      </c>
    </row>
    <row r="301" spans="1:7" s="114" customFormat="1" ht="25.5" customHeight="1" x14ac:dyDescent="0.2">
      <c r="A301" s="471" t="s">
        <v>879</v>
      </c>
      <c r="B301" s="472"/>
      <c r="C301" s="472"/>
      <c r="D301" s="473"/>
      <c r="E301" s="381"/>
      <c r="F301" s="381"/>
      <c r="G301" s="310">
        <f>G305</f>
        <v>40000</v>
      </c>
    </row>
    <row r="302" spans="1:7" s="114" customFormat="1" ht="12.75" x14ac:dyDescent="0.2">
      <c r="A302" s="290" t="s">
        <v>386</v>
      </c>
      <c r="B302" s="291"/>
      <c r="C302" s="291"/>
      <c r="D302" s="292"/>
      <c r="E302" s="378"/>
      <c r="F302" s="378"/>
      <c r="G302" s="378"/>
    </row>
    <row r="303" spans="1:7" s="114" customFormat="1" ht="25.5" customHeight="1" x14ac:dyDescent="0.2">
      <c r="A303" s="465" t="s">
        <v>918</v>
      </c>
      <c r="B303" s="466"/>
      <c r="C303" s="466"/>
      <c r="D303" s="467"/>
      <c r="E303" s="43"/>
      <c r="F303" s="43"/>
      <c r="G303" s="43">
        <v>10000</v>
      </c>
    </row>
    <row r="304" spans="1:7" s="114" customFormat="1" ht="12.75" x14ac:dyDescent="0.2">
      <c r="A304" s="474" t="s">
        <v>869</v>
      </c>
      <c r="B304" s="475"/>
      <c r="C304" s="475"/>
      <c r="D304" s="483"/>
      <c r="E304" s="43"/>
      <c r="F304" s="43"/>
      <c r="G304" s="43">
        <v>30000</v>
      </c>
    </row>
    <row r="305" spans="1:7" s="114" customFormat="1" ht="25.5" x14ac:dyDescent="0.2">
      <c r="A305" s="476">
        <v>4</v>
      </c>
      <c r="B305" s="477"/>
      <c r="C305" s="478"/>
      <c r="D305" s="36" t="s">
        <v>5</v>
      </c>
      <c r="E305" s="202"/>
      <c r="F305" s="202"/>
      <c r="G305" s="202">
        <f>G306</f>
        <v>40000</v>
      </c>
    </row>
    <row r="306" spans="1:7" s="114" customFormat="1" ht="25.5" x14ac:dyDescent="0.2">
      <c r="A306" s="479">
        <v>42</v>
      </c>
      <c r="B306" s="480"/>
      <c r="C306" s="481"/>
      <c r="D306" s="36" t="s">
        <v>91</v>
      </c>
      <c r="E306" s="202"/>
      <c r="F306" s="202"/>
      <c r="G306" s="202">
        <v>40000</v>
      </c>
    </row>
    <row r="307" spans="1:7" s="114" customFormat="1" ht="26.25" customHeight="1" x14ac:dyDescent="0.2">
      <c r="A307" s="471" t="s">
        <v>880</v>
      </c>
      <c r="B307" s="472"/>
      <c r="C307" s="472"/>
      <c r="D307" s="473"/>
      <c r="E307" s="381"/>
      <c r="F307" s="381"/>
      <c r="G307" s="310">
        <f>G311</f>
        <v>40000</v>
      </c>
    </row>
    <row r="308" spans="1:7" s="114" customFormat="1" ht="12.75" x14ac:dyDescent="0.2">
      <c r="A308" s="290" t="s">
        <v>386</v>
      </c>
      <c r="B308" s="291"/>
      <c r="C308" s="291"/>
      <c r="D308" s="292"/>
      <c r="E308" s="378"/>
      <c r="F308" s="378"/>
      <c r="G308" s="378"/>
    </row>
    <row r="309" spans="1:7" s="114" customFormat="1" ht="26.25" customHeight="1" x14ac:dyDescent="0.2">
      <c r="A309" s="465" t="s">
        <v>918</v>
      </c>
      <c r="B309" s="466"/>
      <c r="C309" s="466"/>
      <c r="D309" s="467"/>
      <c r="E309" s="43"/>
      <c r="F309" s="43"/>
      <c r="G309" s="43">
        <v>5000</v>
      </c>
    </row>
    <row r="310" spans="1:7" s="114" customFormat="1" ht="12.75" x14ac:dyDescent="0.2">
      <c r="A310" s="474" t="s">
        <v>874</v>
      </c>
      <c r="B310" s="475"/>
      <c r="C310" s="475"/>
      <c r="D310" s="475"/>
      <c r="E310" s="43"/>
      <c r="F310" s="43"/>
      <c r="G310" s="43">
        <v>35000</v>
      </c>
    </row>
    <row r="311" spans="1:7" s="114" customFormat="1" ht="25.5" x14ac:dyDescent="0.2">
      <c r="A311" s="476">
        <v>4</v>
      </c>
      <c r="B311" s="477"/>
      <c r="C311" s="478"/>
      <c r="D311" s="36" t="s">
        <v>5</v>
      </c>
      <c r="E311" s="202"/>
      <c r="F311" s="202"/>
      <c r="G311" s="202">
        <f>G312</f>
        <v>40000</v>
      </c>
    </row>
    <row r="312" spans="1:7" s="114" customFormat="1" ht="25.5" x14ac:dyDescent="0.2">
      <c r="A312" s="479">
        <v>42</v>
      </c>
      <c r="B312" s="480"/>
      <c r="C312" s="481"/>
      <c r="D312" s="36" t="s">
        <v>91</v>
      </c>
      <c r="E312" s="202"/>
      <c r="F312" s="202"/>
      <c r="G312" s="202">
        <v>40000</v>
      </c>
    </row>
    <row r="313" spans="1:7" s="114" customFormat="1" ht="12.75" x14ac:dyDescent="0.2">
      <c r="A313" s="492" t="s">
        <v>372</v>
      </c>
      <c r="B313" s="493"/>
      <c r="C313" s="493"/>
      <c r="D313" s="494"/>
      <c r="E313" s="49">
        <f t="shared" ref="E313:G313" si="65">E314</f>
        <v>107000</v>
      </c>
      <c r="F313" s="49">
        <f t="shared" si="65"/>
        <v>194000</v>
      </c>
      <c r="G313" s="49">
        <f t="shared" si="65"/>
        <v>92000</v>
      </c>
    </row>
    <row r="314" spans="1:7" s="114" customFormat="1" ht="24.75" customHeight="1" x14ac:dyDescent="0.2">
      <c r="A314" s="497" t="s">
        <v>523</v>
      </c>
      <c r="B314" s="498"/>
      <c r="C314" s="498"/>
      <c r="D314" s="499"/>
      <c r="E314" s="313">
        <f>E318+E320</f>
        <v>107000</v>
      </c>
      <c r="F314" s="313">
        <f t="shared" ref="F314:G314" si="66">F318+F320</f>
        <v>194000</v>
      </c>
      <c r="G314" s="313">
        <f t="shared" si="66"/>
        <v>92000</v>
      </c>
    </row>
    <row r="315" spans="1:7" s="114" customFormat="1" ht="12.75" x14ac:dyDescent="0.2">
      <c r="A315" s="290" t="s">
        <v>386</v>
      </c>
      <c r="B315" s="291"/>
      <c r="C315" s="291"/>
      <c r="D315" s="292"/>
      <c r="E315" s="293"/>
      <c r="F315" s="293"/>
      <c r="G315" s="293"/>
    </row>
    <row r="316" spans="1:7" s="114" customFormat="1" ht="12.75" x14ac:dyDescent="0.2">
      <c r="A316" s="474" t="s">
        <v>866</v>
      </c>
      <c r="B316" s="475"/>
      <c r="C316" s="475"/>
      <c r="D316" s="475"/>
      <c r="E316" s="285">
        <f>E314-E317</f>
        <v>7000</v>
      </c>
      <c r="F316" s="285">
        <f>F314-F317</f>
        <v>24000</v>
      </c>
      <c r="G316" s="285">
        <f>G314-G317</f>
        <v>22000</v>
      </c>
    </row>
    <row r="317" spans="1:7" s="114" customFormat="1" ht="12.75" x14ac:dyDescent="0.2">
      <c r="A317" s="474" t="s">
        <v>869</v>
      </c>
      <c r="B317" s="475"/>
      <c r="C317" s="475"/>
      <c r="D317" s="483"/>
      <c r="E317" s="285">
        <f>100000</f>
        <v>100000</v>
      </c>
      <c r="F317" s="285">
        <v>170000</v>
      </c>
      <c r="G317" s="285">
        <v>70000</v>
      </c>
    </row>
    <row r="318" spans="1:7" s="114" customFormat="1" ht="25.5" x14ac:dyDescent="0.2">
      <c r="A318" s="476">
        <v>4</v>
      </c>
      <c r="B318" s="477"/>
      <c r="C318" s="478"/>
      <c r="D318" s="36" t="s">
        <v>5</v>
      </c>
      <c r="E318" s="202">
        <f>E319</f>
        <v>100000</v>
      </c>
      <c r="F318" s="202">
        <f>F319</f>
        <v>150000</v>
      </c>
      <c r="G318" s="202">
        <f t="shared" ref="G318" si="67">G319</f>
        <v>60000</v>
      </c>
    </row>
    <row r="319" spans="1:7" s="114" customFormat="1" ht="25.5" x14ac:dyDescent="0.2">
      <c r="A319" s="479">
        <v>42</v>
      </c>
      <c r="B319" s="480"/>
      <c r="C319" s="481"/>
      <c r="D319" s="36" t="s">
        <v>91</v>
      </c>
      <c r="E319" s="202">
        <v>100000</v>
      </c>
      <c r="F319" s="202">
        <v>150000</v>
      </c>
      <c r="G319" s="202">
        <v>60000</v>
      </c>
    </row>
    <row r="320" spans="1:7" s="114" customFormat="1" ht="12.75" x14ac:dyDescent="0.2">
      <c r="A320" s="476">
        <v>3</v>
      </c>
      <c r="B320" s="477"/>
      <c r="C320" s="478"/>
      <c r="D320" s="36" t="s">
        <v>18</v>
      </c>
      <c r="E320" s="202">
        <f>E321+E322</f>
        <v>7000</v>
      </c>
      <c r="F320" s="202">
        <f>F321+F322</f>
        <v>44000</v>
      </c>
      <c r="G320" s="202">
        <f>G321+G322</f>
        <v>32000</v>
      </c>
    </row>
    <row r="321" spans="1:7" s="114" customFormat="1" ht="12.75" x14ac:dyDescent="0.2">
      <c r="A321" s="479">
        <v>32</v>
      </c>
      <c r="B321" s="480"/>
      <c r="C321" s="481"/>
      <c r="D321" s="36" t="s">
        <v>32</v>
      </c>
      <c r="E321" s="202">
        <f>2000+2000</f>
        <v>4000</v>
      </c>
      <c r="F321" s="202">
        <v>39000</v>
      </c>
      <c r="G321" s="202">
        <v>28000</v>
      </c>
    </row>
    <row r="322" spans="1:7" s="114" customFormat="1" ht="12.75" x14ac:dyDescent="0.2">
      <c r="A322" s="140"/>
      <c r="B322" s="141"/>
      <c r="C322" s="142">
        <v>38</v>
      </c>
      <c r="D322" s="36" t="s">
        <v>49</v>
      </c>
      <c r="E322" s="202">
        <v>3000</v>
      </c>
      <c r="F322" s="202">
        <v>5000</v>
      </c>
      <c r="G322" s="202">
        <v>4000</v>
      </c>
    </row>
    <row r="323" spans="1:7" s="114" customFormat="1" ht="12.75" x14ac:dyDescent="0.2">
      <c r="A323" s="281" t="s">
        <v>77</v>
      </c>
      <c r="B323" s="281"/>
      <c r="C323" s="281"/>
      <c r="D323" s="281"/>
      <c r="E323" s="275">
        <f>E327+E340+E356+E363</f>
        <v>446252.2</v>
      </c>
      <c r="F323" s="275">
        <f>F327+F340+F356+F363</f>
        <v>428000</v>
      </c>
      <c r="G323" s="275">
        <f>G327+G340+G356+G363</f>
        <v>430000</v>
      </c>
    </row>
    <row r="324" spans="1:7" s="114" customFormat="1" ht="12.75" x14ac:dyDescent="0.2">
      <c r="A324" s="147" t="s">
        <v>867</v>
      </c>
      <c r="B324" s="148"/>
      <c r="C324" s="148"/>
      <c r="D324" s="324"/>
      <c r="E324" s="66">
        <f>E331+E344+E353+E360+E366</f>
        <v>303552.2</v>
      </c>
      <c r="F324" s="66">
        <f t="shared" ref="F324:G324" si="68">F331+F344+F353+F360+F366</f>
        <v>304850</v>
      </c>
      <c r="G324" s="66">
        <f t="shared" si="68"/>
        <v>300500</v>
      </c>
    </row>
    <row r="325" spans="1:7" s="114" customFormat="1" ht="12.75" x14ac:dyDescent="0.2">
      <c r="A325" s="147" t="s">
        <v>872</v>
      </c>
      <c r="B325" s="148"/>
      <c r="C325" s="148"/>
      <c r="D325" s="324"/>
      <c r="E325" s="66">
        <f>E332</f>
        <v>34550</v>
      </c>
      <c r="F325" s="66">
        <f t="shared" ref="F325:G325" si="69">F332</f>
        <v>38000</v>
      </c>
      <c r="G325" s="66">
        <f t="shared" si="69"/>
        <v>44000</v>
      </c>
    </row>
    <row r="326" spans="1:7" s="114" customFormat="1" ht="12.75" x14ac:dyDescent="0.2">
      <c r="A326" s="147" t="s">
        <v>871</v>
      </c>
      <c r="B326" s="148"/>
      <c r="C326" s="148"/>
      <c r="D326" s="324"/>
      <c r="E326" s="66">
        <f>E333+E345</f>
        <v>108150</v>
      </c>
      <c r="F326" s="66">
        <f t="shared" ref="F326:G326" si="70">F333+F345</f>
        <v>85150</v>
      </c>
      <c r="G326" s="66">
        <f t="shared" si="70"/>
        <v>85500</v>
      </c>
    </row>
    <row r="327" spans="1:7" s="114" customFormat="1" ht="12.75" x14ac:dyDescent="0.2">
      <c r="A327" s="289" t="s">
        <v>373</v>
      </c>
      <c r="B327" s="289"/>
      <c r="C327" s="289"/>
      <c r="D327" s="289"/>
      <c r="E327" s="288">
        <f t="shared" ref="E327:G327" si="71">E328</f>
        <v>397967.2</v>
      </c>
      <c r="F327" s="288">
        <f t="shared" si="71"/>
        <v>404000</v>
      </c>
      <c r="G327" s="288">
        <f t="shared" si="71"/>
        <v>407000</v>
      </c>
    </row>
    <row r="328" spans="1:7" s="114" customFormat="1" ht="12.75" x14ac:dyDescent="0.2">
      <c r="A328" s="306" t="s">
        <v>524</v>
      </c>
      <c r="B328" s="307"/>
      <c r="C328" s="307"/>
      <c r="D328" s="307"/>
      <c r="E328" s="308">
        <f t="shared" ref="E328:G328" si="72">E334+E338</f>
        <v>397967.2</v>
      </c>
      <c r="F328" s="308">
        <f t="shared" si="72"/>
        <v>404000</v>
      </c>
      <c r="G328" s="308">
        <f t="shared" si="72"/>
        <v>407000</v>
      </c>
    </row>
    <row r="329" spans="1:7" s="114" customFormat="1" ht="12.75" x14ac:dyDescent="0.2">
      <c r="A329" s="301" t="s">
        <v>703</v>
      </c>
      <c r="B329" s="302"/>
      <c r="C329" s="302"/>
      <c r="D329" s="302"/>
      <c r="E329" s="303"/>
      <c r="F329" s="303"/>
      <c r="G329" s="303"/>
    </row>
    <row r="330" spans="1:7" s="114" customFormat="1" ht="12.75" x14ac:dyDescent="0.2">
      <c r="A330" s="290" t="s">
        <v>889</v>
      </c>
      <c r="B330" s="291"/>
      <c r="C330" s="291"/>
      <c r="D330" s="292"/>
      <c r="E330" s="293"/>
      <c r="F330" s="293"/>
      <c r="G330" s="293"/>
    </row>
    <row r="331" spans="1:7" s="114" customFormat="1" ht="12.75" x14ac:dyDescent="0.2">
      <c r="A331" s="474" t="s">
        <v>866</v>
      </c>
      <c r="B331" s="475"/>
      <c r="C331" s="475"/>
      <c r="D331" s="475"/>
      <c r="E331" s="323">
        <f>E328-E332-E333</f>
        <v>278017.2</v>
      </c>
      <c r="F331" s="323">
        <f>F328-F332-F333</f>
        <v>280850</v>
      </c>
      <c r="G331" s="323">
        <f>G328-G332-G333</f>
        <v>277500</v>
      </c>
    </row>
    <row r="332" spans="1:7" s="114" customFormat="1" ht="12.75" x14ac:dyDescent="0.2">
      <c r="A332" s="39" t="s">
        <v>870</v>
      </c>
      <c r="B332" s="39"/>
      <c r="C332" s="39"/>
      <c r="D332" s="39"/>
      <c r="E332" s="285">
        <v>34550</v>
      </c>
      <c r="F332" s="285">
        <v>38000</v>
      </c>
      <c r="G332" s="285">
        <v>44000</v>
      </c>
    </row>
    <row r="333" spans="1:7" s="114" customFormat="1" ht="12.75" x14ac:dyDescent="0.2">
      <c r="A333" s="474" t="s">
        <v>869</v>
      </c>
      <c r="B333" s="475"/>
      <c r="C333" s="475"/>
      <c r="D333" s="483"/>
      <c r="E333" s="285">
        <f>85000+400</f>
        <v>85400</v>
      </c>
      <c r="F333" s="285">
        <v>85150</v>
      </c>
      <c r="G333" s="285">
        <v>85500</v>
      </c>
    </row>
    <row r="334" spans="1:7" s="114" customFormat="1" ht="12.75" x14ac:dyDescent="0.2">
      <c r="A334" s="476">
        <v>3</v>
      </c>
      <c r="B334" s="477"/>
      <c r="C334" s="478"/>
      <c r="D334" s="36" t="s">
        <v>18</v>
      </c>
      <c r="E334" s="66">
        <f>E335+E336+E337</f>
        <v>391467.2</v>
      </c>
      <c r="F334" s="66">
        <f t="shared" ref="F334:G334" si="73">F335+F336+F337</f>
        <v>400000</v>
      </c>
      <c r="G334" s="66">
        <f t="shared" si="73"/>
        <v>405000</v>
      </c>
    </row>
    <row r="335" spans="1:7" s="114" customFormat="1" ht="12.75" x14ac:dyDescent="0.2">
      <c r="A335" s="479">
        <v>31</v>
      </c>
      <c r="B335" s="480"/>
      <c r="C335" s="481"/>
      <c r="D335" s="36" t="s">
        <v>21</v>
      </c>
      <c r="E335" s="202">
        <f>263920+10660+43550</f>
        <v>318130</v>
      </c>
      <c r="F335" s="202">
        <v>325000</v>
      </c>
      <c r="G335" s="202">
        <v>330000</v>
      </c>
    </row>
    <row r="336" spans="1:7" s="114" customFormat="1" ht="12.75" x14ac:dyDescent="0.2">
      <c r="A336" s="479">
        <v>32</v>
      </c>
      <c r="B336" s="480"/>
      <c r="C336" s="481"/>
      <c r="D336" s="36" t="s">
        <v>32</v>
      </c>
      <c r="E336" s="202">
        <f>600+10331.2+800+500+3700+22000+9000+2500+2900+1300+1140+5000+100+4730+2180+1300+770+100+2760+132+14+150+300</f>
        <v>72307.199999999997</v>
      </c>
      <c r="F336" s="202">
        <v>73900</v>
      </c>
      <c r="G336" s="202">
        <v>73800</v>
      </c>
    </row>
    <row r="337" spans="1:7" s="114" customFormat="1" ht="12.75" x14ac:dyDescent="0.2">
      <c r="A337" s="479">
        <v>34</v>
      </c>
      <c r="B337" s="480"/>
      <c r="C337" s="481"/>
      <c r="D337" s="36" t="s">
        <v>100</v>
      </c>
      <c r="E337" s="202">
        <f>1020+10</f>
        <v>1030</v>
      </c>
      <c r="F337" s="202">
        <v>1100</v>
      </c>
      <c r="G337" s="202">
        <v>1200</v>
      </c>
    </row>
    <row r="338" spans="1:7" s="114" customFormat="1" ht="25.5" x14ac:dyDescent="0.2">
      <c r="A338" s="476">
        <v>4</v>
      </c>
      <c r="B338" s="477"/>
      <c r="C338" s="478"/>
      <c r="D338" s="36" t="s">
        <v>5</v>
      </c>
      <c r="E338" s="66">
        <f>E339</f>
        <v>6500</v>
      </c>
      <c r="F338" s="66">
        <f t="shared" ref="F338" si="74">F339</f>
        <v>4000</v>
      </c>
      <c r="G338" s="66">
        <f>G339</f>
        <v>2000</v>
      </c>
    </row>
    <row r="339" spans="1:7" s="114" customFormat="1" ht="25.5" x14ac:dyDescent="0.2">
      <c r="A339" s="479">
        <v>42</v>
      </c>
      <c r="B339" s="480"/>
      <c r="C339" s="481"/>
      <c r="D339" s="36" t="s">
        <v>91</v>
      </c>
      <c r="E339" s="202">
        <f>4500+2000</f>
        <v>6500</v>
      </c>
      <c r="F339" s="202">
        <v>4000</v>
      </c>
      <c r="G339" s="202">
        <v>2000</v>
      </c>
    </row>
    <row r="340" spans="1:7" s="114" customFormat="1" ht="12.75" x14ac:dyDescent="0.2">
      <c r="A340" s="289" t="s">
        <v>374</v>
      </c>
      <c r="B340" s="289"/>
      <c r="C340" s="289"/>
      <c r="D340" s="289"/>
      <c r="E340" s="288">
        <f>E341+E351</f>
        <v>35285</v>
      </c>
      <c r="F340" s="288">
        <f t="shared" ref="F340:G340" si="75">F341+F351</f>
        <v>11000</v>
      </c>
      <c r="G340" s="288">
        <f t="shared" si="75"/>
        <v>10000</v>
      </c>
    </row>
    <row r="341" spans="1:7" s="114" customFormat="1" ht="12.75" x14ac:dyDescent="0.2">
      <c r="A341" s="484" t="s">
        <v>525</v>
      </c>
      <c r="B341" s="485"/>
      <c r="C341" s="485"/>
      <c r="D341" s="485"/>
      <c r="E341" s="577">
        <f>E346+E349</f>
        <v>31285</v>
      </c>
      <c r="F341" s="577">
        <f t="shared" ref="F341:G341" si="76">F346</f>
        <v>6000</v>
      </c>
      <c r="G341" s="577">
        <f t="shared" si="76"/>
        <v>6000</v>
      </c>
    </row>
    <row r="342" spans="1:7" s="114" customFormat="1" ht="12.75" x14ac:dyDescent="0.2">
      <c r="A342" s="487" t="s">
        <v>79</v>
      </c>
      <c r="B342" s="488"/>
      <c r="C342" s="488"/>
      <c r="D342" s="489"/>
      <c r="E342" s="578"/>
      <c r="F342" s="578"/>
      <c r="G342" s="578"/>
    </row>
    <row r="343" spans="1:7" s="114" customFormat="1" ht="12.75" x14ac:dyDescent="0.2">
      <c r="A343" s="290" t="s">
        <v>890</v>
      </c>
      <c r="B343" s="291"/>
      <c r="C343" s="291"/>
      <c r="D343" s="292"/>
      <c r="E343" s="293"/>
      <c r="F343" s="293"/>
      <c r="G343" s="293"/>
    </row>
    <row r="344" spans="1:7" s="114" customFormat="1" ht="12.75" x14ac:dyDescent="0.2">
      <c r="A344" s="474" t="s">
        <v>866</v>
      </c>
      <c r="B344" s="475"/>
      <c r="C344" s="475"/>
      <c r="D344" s="475"/>
      <c r="E344" s="323">
        <f>E341-E345</f>
        <v>8535</v>
      </c>
      <c r="F344" s="323">
        <v>6000</v>
      </c>
      <c r="G344" s="323">
        <v>6000</v>
      </c>
    </row>
    <row r="345" spans="1:7" s="114" customFormat="1" ht="12.75" x14ac:dyDescent="0.2">
      <c r="A345" s="474" t="s">
        <v>869</v>
      </c>
      <c r="B345" s="475"/>
      <c r="C345" s="475"/>
      <c r="D345" s="483"/>
      <c r="E345" s="285">
        <v>22750</v>
      </c>
      <c r="F345" s="285"/>
      <c r="G345" s="285"/>
    </row>
    <row r="346" spans="1:7" s="114" customFormat="1" ht="12.75" x14ac:dyDescent="0.2">
      <c r="A346" s="476">
        <v>3</v>
      </c>
      <c r="B346" s="477"/>
      <c r="C346" s="478"/>
      <c r="D346" s="36" t="s">
        <v>18</v>
      </c>
      <c r="E346" s="66">
        <f>E348+E347</f>
        <v>29295</v>
      </c>
      <c r="F346" s="66">
        <f t="shared" ref="F346:G346" si="77">F348</f>
        <v>6000</v>
      </c>
      <c r="G346" s="66">
        <f t="shared" si="77"/>
        <v>6000</v>
      </c>
    </row>
    <row r="347" spans="1:7" s="114" customFormat="1" ht="12.75" x14ac:dyDescent="0.2">
      <c r="A347" s="479">
        <v>32</v>
      </c>
      <c r="B347" s="480"/>
      <c r="C347" s="481"/>
      <c r="D347" s="36" t="s">
        <v>32</v>
      </c>
      <c r="E347" s="66">
        <f>5060+635+17600</f>
        <v>23295</v>
      </c>
      <c r="F347" s="337"/>
      <c r="G347" s="337"/>
    </row>
    <row r="348" spans="1:7" s="114" customFormat="1" ht="25.5" x14ac:dyDescent="0.2">
      <c r="A348" s="479">
        <v>36</v>
      </c>
      <c r="B348" s="480"/>
      <c r="C348" s="481"/>
      <c r="D348" s="36" t="s">
        <v>47</v>
      </c>
      <c r="E348" s="202">
        <v>6000</v>
      </c>
      <c r="F348" s="202">
        <v>6000</v>
      </c>
      <c r="G348" s="202">
        <v>6000</v>
      </c>
    </row>
    <row r="349" spans="1:7" s="114" customFormat="1" ht="25.5" x14ac:dyDescent="0.2">
      <c r="A349" s="476">
        <v>4</v>
      </c>
      <c r="B349" s="477"/>
      <c r="C349" s="478"/>
      <c r="D349" s="36" t="s">
        <v>5</v>
      </c>
      <c r="E349" s="202">
        <f>E350</f>
        <v>1990</v>
      </c>
      <c r="F349" s="202"/>
      <c r="G349" s="202"/>
    </row>
    <row r="350" spans="1:7" s="114" customFormat="1" ht="25.5" x14ac:dyDescent="0.2">
      <c r="A350" s="479">
        <v>42</v>
      </c>
      <c r="B350" s="480"/>
      <c r="C350" s="481"/>
      <c r="D350" s="36" t="s">
        <v>91</v>
      </c>
      <c r="E350" s="202">
        <v>1990</v>
      </c>
      <c r="F350" s="202"/>
      <c r="G350" s="202"/>
    </row>
    <row r="351" spans="1:7" s="114" customFormat="1" ht="26.25" customHeight="1" x14ac:dyDescent="0.2">
      <c r="A351" s="482" t="s">
        <v>526</v>
      </c>
      <c r="B351" s="482"/>
      <c r="C351" s="482"/>
      <c r="D351" s="482"/>
      <c r="E351" s="313">
        <f>E354</f>
        <v>4000</v>
      </c>
      <c r="F351" s="313">
        <f t="shared" ref="F351:G351" si="78">F354</f>
        <v>5000</v>
      </c>
      <c r="G351" s="313">
        <f t="shared" si="78"/>
        <v>4000</v>
      </c>
    </row>
    <row r="352" spans="1:7" s="114" customFormat="1" ht="12.75" x14ac:dyDescent="0.2">
      <c r="A352" s="290" t="s">
        <v>890</v>
      </c>
      <c r="B352" s="291"/>
      <c r="C352" s="291"/>
      <c r="D352" s="292"/>
      <c r="E352" s="293"/>
      <c r="F352" s="293"/>
      <c r="G352" s="293"/>
    </row>
    <row r="353" spans="1:7" s="114" customFormat="1" ht="12.75" x14ac:dyDescent="0.2">
      <c r="A353" s="474" t="s">
        <v>866</v>
      </c>
      <c r="B353" s="475"/>
      <c r="C353" s="475"/>
      <c r="D353" s="475"/>
      <c r="E353" s="285">
        <v>4000</v>
      </c>
      <c r="F353" s="285">
        <f>F351</f>
        <v>5000</v>
      </c>
      <c r="G353" s="285">
        <v>4000</v>
      </c>
    </row>
    <row r="354" spans="1:7" s="114" customFormat="1" ht="12.75" x14ac:dyDescent="0.2">
      <c r="A354" s="476">
        <v>3</v>
      </c>
      <c r="B354" s="477"/>
      <c r="C354" s="478"/>
      <c r="D354" s="36" t="s">
        <v>18</v>
      </c>
      <c r="E354" s="202">
        <f>E355</f>
        <v>4000</v>
      </c>
      <c r="F354" s="202">
        <f t="shared" ref="F354:G354" si="79">F355</f>
        <v>5000</v>
      </c>
      <c r="G354" s="202">
        <f t="shared" si="79"/>
        <v>4000</v>
      </c>
    </row>
    <row r="355" spans="1:7" s="114" customFormat="1" ht="38.25" x14ac:dyDescent="0.2">
      <c r="A355" s="479">
        <v>37</v>
      </c>
      <c r="B355" s="480"/>
      <c r="C355" s="481"/>
      <c r="D355" s="36" t="s">
        <v>48</v>
      </c>
      <c r="E355" s="202">
        <v>4000</v>
      </c>
      <c r="F355" s="202">
        <v>5000</v>
      </c>
      <c r="G355" s="202">
        <v>4000</v>
      </c>
    </row>
    <row r="356" spans="1:7" s="114" customFormat="1" ht="12.75" x14ac:dyDescent="0.2">
      <c r="A356" s="549" t="s">
        <v>375</v>
      </c>
      <c r="B356" s="550"/>
      <c r="C356" s="550"/>
      <c r="D356" s="555"/>
      <c r="E356" s="288">
        <f t="shared" ref="E356:G356" si="80">E357</f>
        <v>3000</v>
      </c>
      <c r="F356" s="288">
        <f t="shared" si="80"/>
        <v>3000</v>
      </c>
      <c r="G356" s="288">
        <f t="shared" si="80"/>
        <v>3000</v>
      </c>
    </row>
    <row r="357" spans="1:7" s="114" customFormat="1" ht="12.75" x14ac:dyDescent="0.2">
      <c r="A357" s="484" t="s">
        <v>527</v>
      </c>
      <c r="B357" s="485"/>
      <c r="C357" s="485"/>
      <c r="D357" s="556"/>
      <c r="E357" s="577">
        <f t="shared" ref="E357:G357" si="81">E361</f>
        <v>3000</v>
      </c>
      <c r="F357" s="577">
        <f t="shared" si="81"/>
        <v>3000</v>
      </c>
      <c r="G357" s="577">
        <f t="shared" si="81"/>
        <v>3000</v>
      </c>
    </row>
    <row r="358" spans="1:7" s="114" customFormat="1" ht="12.75" x14ac:dyDescent="0.2">
      <c r="A358" s="487" t="s">
        <v>80</v>
      </c>
      <c r="B358" s="488"/>
      <c r="C358" s="488"/>
      <c r="D358" s="488"/>
      <c r="E358" s="578"/>
      <c r="F358" s="578"/>
      <c r="G358" s="578"/>
    </row>
    <row r="359" spans="1:7" s="114" customFormat="1" ht="12.75" x14ac:dyDescent="0.2">
      <c r="A359" s="290" t="s">
        <v>891</v>
      </c>
      <c r="B359" s="291"/>
      <c r="C359" s="291"/>
      <c r="D359" s="292"/>
      <c r="E359" s="293"/>
      <c r="F359" s="293"/>
      <c r="G359" s="293"/>
    </row>
    <row r="360" spans="1:7" s="114" customFormat="1" ht="12.75" x14ac:dyDescent="0.2">
      <c r="A360" s="474" t="s">
        <v>866</v>
      </c>
      <c r="B360" s="475"/>
      <c r="C360" s="475"/>
      <c r="D360" s="475"/>
      <c r="E360" s="285">
        <v>3000</v>
      </c>
      <c r="F360" s="285">
        <v>3000</v>
      </c>
      <c r="G360" s="285">
        <v>3000</v>
      </c>
    </row>
    <row r="361" spans="1:7" s="114" customFormat="1" ht="12.75" x14ac:dyDescent="0.2">
      <c r="A361" s="476">
        <v>3</v>
      </c>
      <c r="B361" s="477"/>
      <c r="C361" s="478"/>
      <c r="D361" s="36" t="s">
        <v>18</v>
      </c>
      <c r="E361" s="66">
        <f>E362</f>
        <v>3000</v>
      </c>
      <c r="F361" s="66">
        <f t="shared" ref="F361:G361" si="82">F362</f>
        <v>3000</v>
      </c>
      <c r="G361" s="66">
        <f t="shared" si="82"/>
        <v>3000</v>
      </c>
    </row>
    <row r="362" spans="1:7" s="114" customFormat="1" ht="38.25" x14ac:dyDescent="0.2">
      <c r="A362" s="479">
        <v>37</v>
      </c>
      <c r="B362" s="480"/>
      <c r="C362" s="481"/>
      <c r="D362" s="36" t="s">
        <v>48</v>
      </c>
      <c r="E362" s="202">
        <v>3000</v>
      </c>
      <c r="F362" s="202">
        <v>3000</v>
      </c>
      <c r="G362" s="202">
        <v>3000</v>
      </c>
    </row>
    <row r="363" spans="1:7" s="114" customFormat="1" ht="12.75" x14ac:dyDescent="0.2">
      <c r="A363" s="289" t="s">
        <v>376</v>
      </c>
      <c r="B363" s="289"/>
      <c r="C363" s="289"/>
      <c r="D363" s="289"/>
      <c r="E363" s="288">
        <f t="shared" ref="E363:G363" si="83">E364</f>
        <v>10000</v>
      </c>
      <c r="F363" s="288">
        <f t="shared" si="83"/>
        <v>10000</v>
      </c>
      <c r="G363" s="288">
        <f t="shared" si="83"/>
        <v>10000</v>
      </c>
    </row>
    <row r="364" spans="1:7" s="114" customFormat="1" ht="12.75" x14ac:dyDescent="0.2">
      <c r="A364" s="306" t="s">
        <v>528</v>
      </c>
      <c r="B364" s="307"/>
      <c r="C364" s="307"/>
      <c r="D364" s="307"/>
      <c r="E364" s="308">
        <f t="shared" ref="E364:G364" si="84">E367</f>
        <v>10000</v>
      </c>
      <c r="F364" s="308">
        <f t="shared" si="84"/>
        <v>10000</v>
      </c>
      <c r="G364" s="308">
        <f t="shared" si="84"/>
        <v>10000</v>
      </c>
    </row>
    <row r="365" spans="1:7" s="114" customFormat="1" ht="12.75" x14ac:dyDescent="0.2">
      <c r="A365" s="290" t="s">
        <v>400</v>
      </c>
      <c r="B365" s="291"/>
      <c r="C365" s="291"/>
      <c r="D365" s="292"/>
      <c r="E365" s="293"/>
      <c r="F365" s="293"/>
      <c r="G365" s="293"/>
    </row>
    <row r="366" spans="1:7" s="114" customFormat="1" ht="12.75" x14ac:dyDescent="0.2">
      <c r="A366" s="474" t="s">
        <v>866</v>
      </c>
      <c r="B366" s="475"/>
      <c r="C366" s="475"/>
      <c r="D366" s="475"/>
      <c r="E366" s="285">
        <v>10000</v>
      </c>
      <c r="F366" s="285">
        <v>10000</v>
      </c>
      <c r="G366" s="285">
        <v>10000</v>
      </c>
    </row>
    <row r="367" spans="1:7" s="114" customFormat="1" ht="12.75" x14ac:dyDescent="0.2">
      <c r="A367" s="476">
        <v>3</v>
      </c>
      <c r="B367" s="477"/>
      <c r="C367" s="478"/>
      <c r="D367" s="36" t="s">
        <v>18</v>
      </c>
      <c r="E367" s="66">
        <f>E368</f>
        <v>10000</v>
      </c>
      <c r="F367" s="66">
        <f t="shared" ref="F367:G367" si="85">F368</f>
        <v>10000</v>
      </c>
      <c r="G367" s="66">
        <f t="shared" si="85"/>
        <v>10000</v>
      </c>
    </row>
    <row r="368" spans="1:7" s="114" customFormat="1" ht="38.25" x14ac:dyDescent="0.2">
      <c r="A368" s="479">
        <v>37</v>
      </c>
      <c r="B368" s="480"/>
      <c r="C368" s="481"/>
      <c r="D368" s="36" t="s">
        <v>48</v>
      </c>
      <c r="E368" s="202">
        <v>10000</v>
      </c>
      <c r="F368" s="202">
        <v>10000</v>
      </c>
      <c r="G368" s="202">
        <v>10000</v>
      </c>
    </row>
    <row r="369" spans="1:7" s="114" customFormat="1" ht="12.75" x14ac:dyDescent="0.2">
      <c r="A369" s="50" t="s">
        <v>82</v>
      </c>
      <c r="B369" s="50"/>
      <c r="C369" s="50"/>
      <c r="D369" s="50"/>
      <c r="E369" s="581">
        <f>E373+E381</f>
        <v>43000</v>
      </c>
      <c r="F369" s="581">
        <f t="shared" ref="F369:G369" si="86">F373+F381</f>
        <v>43000</v>
      </c>
      <c r="G369" s="581">
        <f t="shared" si="86"/>
        <v>43000</v>
      </c>
    </row>
    <row r="370" spans="1:7" s="114" customFormat="1" ht="12.75" x14ac:dyDescent="0.2">
      <c r="A370" s="524" t="s">
        <v>83</v>
      </c>
      <c r="B370" s="525"/>
      <c r="C370" s="525"/>
      <c r="D370" s="526"/>
      <c r="E370" s="582"/>
      <c r="F370" s="582"/>
      <c r="G370" s="582"/>
    </row>
    <row r="371" spans="1:7" s="114" customFormat="1" ht="12.75" x14ac:dyDescent="0.2">
      <c r="A371" s="147" t="s">
        <v>867</v>
      </c>
      <c r="B371" s="148"/>
      <c r="C371" s="148"/>
      <c r="D371" s="324"/>
      <c r="E371" s="202">
        <f>E376+E384</f>
        <v>29000</v>
      </c>
      <c r="F371" s="202">
        <f t="shared" ref="F371:G371" si="87">F376+F384</f>
        <v>29000</v>
      </c>
      <c r="G371" s="202">
        <f t="shared" si="87"/>
        <v>29000</v>
      </c>
    </row>
    <row r="372" spans="1:7" s="114" customFormat="1" ht="12.75" x14ac:dyDescent="0.2">
      <c r="A372" s="147" t="s">
        <v>900</v>
      </c>
      <c r="B372" s="148"/>
      <c r="C372" s="148"/>
      <c r="D372" s="324"/>
      <c r="E372" s="202">
        <f>E377</f>
        <v>14000</v>
      </c>
      <c r="F372" s="202">
        <f t="shared" ref="F372:G372" si="88">F377</f>
        <v>14000</v>
      </c>
      <c r="G372" s="202">
        <f t="shared" si="88"/>
        <v>14000</v>
      </c>
    </row>
    <row r="373" spans="1:7" s="114" customFormat="1" ht="12.75" x14ac:dyDescent="0.2">
      <c r="A373" s="289" t="s">
        <v>377</v>
      </c>
      <c r="B373" s="289"/>
      <c r="C373" s="289"/>
      <c r="D373" s="289"/>
      <c r="E373" s="288">
        <f t="shared" ref="E373:G373" si="89">E374</f>
        <v>40000</v>
      </c>
      <c r="F373" s="288">
        <f t="shared" si="89"/>
        <v>40000</v>
      </c>
      <c r="G373" s="288">
        <f t="shared" si="89"/>
        <v>40000</v>
      </c>
    </row>
    <row r="374" spans="1:7" s="114" customFormat="1" ht="26.25" customHeight="1" x14ac:dyDescent="0.2">
      <c r="A374" s="497" t="s">
        <v>529</v>
      </c>
      <c r="B374" s="498"/>
      <c r="C374" s="498"/>
      <c r="D374" s="499"/>
      <c r="E374" s="309">
        <f t="shared" ref="E374:G374" si="90">E378</f>
        <v>40000</v>
      </c>
      <c r="F374" s="309">
        <f t="shared" si="90"/>
        <v>40000</v>
      </c>
      <c r="G374" s="309">
        <f t="shared" si="90"/>
        <v>40000</v>
      </c>
    </row>
    <row r="375" spans="1:7" s="114" customFormat="1" ht="12.75" x14ac:dyDescent="0.2">
      <c r="A375" s="290" t="s">
        <v>401</v>
      </c>
      <c r="B375" s="291"/>
      <c r="C375" s="291"/>
      <c r="D375" s="292"/>
      <c r="E375" s="293"/>
      <c r="F375" s="293"/>
      <c r="G375" s="293"/>
    </row>
    <row r="376" spans="1:7" s="114" customFormat="1" ht="12.75" x14ac:dyDescent="0.2">
      <c r="A376" s="474" t="s">
        <v>866</v>
      </c>
      <c r="B376" s="475"/>
      <c r="C376" s="475"/>
      <c r="D376" s="475"/>
      <c r="E376" s="285">
        <f>E378-E377</f>
        <v>26000</v>
      </c>
      <c r="F376" s="285">
        <f>F374-F377</f>
        <v>26000</v>
      </c>
      <c r="G376" s="285">
        <f>G374-G377</f>
        <v>26000</v>
      </c>
    </row>
    <row r="377" spans="1:7" s="114" customFormat="1" ht="12.75" x14ac:dyDescent="0.2">
      <c r="A377" s="474" t="s">
        <v>899</v>
      </c>
      <c r="B377" s="475"/>
      <c r="C377" s="475"/>
      <c r="D377" s="483"/>
      <c r="E377" s="285">
        <v>14000</v>
      </c>
      <c r="F377" s="285">
        <v>14000</v>
      </c>
      <c r="G377" s="285">
        <v>14000</v>
      </c>
    </row>
    <row r="378" spans="1:7" s="114" customFormat="1" ht="12.75" x14ac:dyDescent="0.2">
      <c r="A378" s="476">
        <v>3</v>
      </c>
      <c r="B378" s="477"/>
      <c r="C378" s="478"/>
      <c r="D378" s="36" t="s">
        <v>18</v>
      </c>
      <c r="E378" s="202">
        <f>E379+E380</f>
        <v>40000</v>
      </c>
      <c r="F378" s="202">
        <f t="shared" ref="F378:G378" si="91">F379+F380</f>
        <v>40000</v>
      </c>
      <c r="G378" s="202">
        <f t="shared" si="91"/>
        <v>40000</v>
      </c>
    </row>
    <row r="379" spans="1:7" s="114" customFormat="1" ht="25.5" x14ac:dyDescent="0.2">
      <c r="A379" s="479">
        <v>36</v>
      </c>
      <c r="B379" s="480"/>
      <c r="C379" s="481"/>
      <c r="D379" s="36" t="s">
        <v>47</v>
      </c>
      <c r="E379" s="202">
        <v>20000</v>
      </c>
      <c r="F379" s="202">
        <v>20000</v>
      </c>
      <c r="G379" s="202">
        <v>20000</v>
      </c>
    </row>
    <row r="380" spans="1:7" s="114" customFormat="1" ht="12.75" x14ac:dyDescent="0.2">
      <c r="A380" s="479">
        <v>38</v>
      </c>
      <c r="B380" s="480"/>
      <c r="C380" s="481"/>
      <c r="D380" s="36" t="s">
        <v>49</v>
      </c>
      <c r="E380" s="202">
        <v>20000</v>
      </c>
      <c r="F380" s="202">
        <v>20000</v>
      </c>
      <c r="G380" s="202">
        <v>20000</v>
      </c>
    </row>
    <row r="381" spans="1:7" s="114" customFormat="1" ht="12.75" x14ac:dyDescent="0.2">
      <c r="A381" s="557" t="s">
        <v>378</v>
      </c>
      <c r="B381" s="557"/>
      <c r="C381" s="557"/>
      <c r="D381" s="557"/>
      <c r="E381" s="304">
        <f t="shared" ref="E381:G381" si="92">E382</f>
        <v>3000</v>
      </c>
      <c r="F381" s="304">
        <f>F382</f>
        <v>3000</v>
      </c>
      <c r="G381" s="304">
        <f t="shared" si="92"/>
        <v>3000</v>
      </c>
    </row>
    <row r="382" spans="1:7" s="114" customFormat="1" ht="25.5" customHeight="1" x14ac:dyDescent="0.2">
      <c r="A382" s="497" t="s">
        <v>530</v>
      </c>
      <c r="B382" s="498"/>
      <c r="C382" s="498"/>
      <c r="D382" s="499"/>
      <c r="E382" s="309">
        <f t="shared" ref="E382:G382" si="93">E385</f>
        <v>3000</v>
      </c>
      <c r="F382" s="309">
        <f t="shared" si="93"/>
        <v>3000</v>
      </c>
      <c r="G382" s="309">
        <f t="shared" si="93"/>
        <v>3000</v>
      </c>
    </row>
    <row r="383" spans="1:7" s="114" customFormat="1" ht="12.75" x14ac:dyDescent="0.2">
      <c r="A383" s="290" t="s">
        <v>401</v>
      </c>
      <c r="B383" s="291"/>
      <c r="C383" s="291"/>
      <c r="D383" s="292"/>
      <c r="E383" s="293"/>
      <c r="F383" s="293"/>
      <c r="G383" s="293"/>
    </row>
    <row r="384" spans="1:7" s="114" customFormat="1" ht="12.75" x14ac:dyDescent="0.2">
      <c r="A384" s="474" t="s">
        <v>866</v>
      </c>
      <c r="B384" s="475"/>
      <c r="C384" s="475"/>
      <c r="D384" s="475"/>
      <c r="E384" s="285">
        <f>E385</f>
        <v>3000</v>
      </c>
      <c r="F384" s="285">
        <v>3000</v>
      </c>
      <c r="G384" s="285">
        <v>3000</v>
      </c>
    </row>
    <row r="385" spans="1:7" s="114" customFormat="1" ht="12.75" x14ac:dyDescent="0.2">
      <c r="A385" s="476">
        <v>3</v>
      </c>
      <c r="B385" s="477"/>
      <c r="C385" s="478"/>
      <c r="D385" s="36" t="s">
        <v>18</v>
      </c>
      <c r="E385" s="202">
        <f>E386</f>
        <v>3000</v>
      </c>
      <c r="F385" s="202">
        <f t="shared" ref="F385:G385" si="94">F386</f>
        <v>3000</v>
      </c>
      <c r="G385" s="202">
        <f t="shared" si="94"/>
        <v>3000</v>
      </c>
    </row>
    <row r="386" spans="1:7" s="114" customFormat="1" ht="12.75" x14ac:dyDescent="0.2">
      <c r="A386" s="479">
        <v>38</v>
      </c>
      <c r="B386" s="480"/>
      <c r="C386" s="481"/>
      <c r="D386" s="36" t="s">
        <v>49</v>
      </c>
      <c r="E386" s="202">
        <f>1000+2000</f>
        <v>3000</v>
      </c>
      <c r="F386" s="202">
        <v>3000</v>
      </c>
      <c r="G386" s="202">
        <v>3000</v>
      </c>
    </row>
    <row r="387" spans="1:7" s="114" customFormat="1" ht="12.75" x14ac:dyDescent="0.2">
      <c r="A387" s="281" t="s">
        <v>84</v>
      </c>
      <c r="B387" s="281"/>
      <c r="C387" s="281"/>
      <c r="D387" s="281"/>
      <c r="E387" s="275">
        <f>E390+E404+E398</f>
        <v>74000</v>
      </c>
      <c r="F387" s="275">
        <f t="shared" ref="F387" si="95">F390+F404+F398</f>
        <v>94000</v>
      </c>
      <c r="G387" s="275">
        <f>G390+G404+G398</f>
        <v>74000</v>
      </c>
    </row>
    <row r="388" spans="1:7" s="114" customFormat="1" ht="12.75" x14ac:dyDescent="0.2">
      <c r="A388" s="147" t="s">
        <v>867</v>
      </c>
      <c r="B388" s="148"/>
      <c r="C388" s="148"/>
      <c r="D388" s="324"/>
      <c r="E388" s="66">
        <f>E394+E401+E407</f>
        <v>34007</v>
      </c>
      <c r="F388" s="66">
        <f t="shared" ref="F388:G388" si="96">F394+F401+F407</f>
        <v>36000</v>
      </c>
      <c r="G388" s="66">
        <f t="shared" si="96"/>
        <v>24000</v>
      </c>
    </row>
    <row r="389" spans="1:7" s="114" customFormat="1" ht="12.75" x14ac:dyDescent="0.2">
      <c r="A389" s="468" t="s">
        <v>871</v>
      </c>
      <c r="B389" s="469"/>
      <c r="C389" s="469"/>
      <c r="D389" s="470"/>
      <c r="E389" s="66">
        <f>E395</f>
        <v>39993</v>
      </c>
      <c r="F389" s="66">
        <f>F395</f>
        <v>58000</v>
      </c>
      <c r="G389" s="66">
        <f>G395</f>
        <v>50000</v>
      </c>
    </row>
    <row r="390" spans="1:7" s="114" customFormat="1" ht="12.75" x14ac:dyDescent="0.2">
      <c r="A390" s="289" t="s">
        <v>379</v>
      </c>
      <c r="B390" s="289"/>
      <c r="C390" s="289"/>
      <c r="D390" s="289"/>
      <c r="E390" s="288">
        <f t="shared" ref="E390:G390" si="97">E391</f>
        <v>63000</v>
      </c>
      <c r="F390" s="288">
        <f t="shared" si="97"/>
        <v>63000</v>
      </c>
      <c r="G390" s="288">
        <f t="shared" si="97"/>
        <v>63000</v>
      </c>
    </row>
    <row r="391" spans="1:7" s="114" customFormat="1" ht="12.75" x14ac:dyDescent="0.2">
      <c r="A391" s="484" t="s">
        <v>531</v>
      </c>
      <c r="B391" s="485"/>
      <c r="C391" s="485"/>
      <c r="D391" s="485"/>
      <c r="E391" s="577">
        <f t="shared" ref="E391:G391" si="98">E396</f>
        <v>63000</v>
      </c>
      <c r="F391" s="577">
        <f t="shared" si="98"/>
        <v>63000</v>
      </c>
      <c r="G391" s="577">
        <f t="shared" si="98"/>
        <v>63000</v>
      </c>
    </row>
    <row r="392" spans="1:7" s="114" customFormat="1" ht="12.75" x14ac:dyDescent="0.2">
      <c r="A392" s="314" t="s">
        <v>85</v>
      </c>
      <c r="B392" s="315"/>
      <c r="C392" s="315"/>
      <c r="D392" s="315"/>
      <c r="E392" s="578"/>
      <c r="F392" s="578"/>
      <c r="G392" s="578"/>
    </row>
    <row r="393" spans="1:7" s="114" customFormat="1" ht="12.75" x14ac:dyDescent="0.2">
      <c r="A393" s="290" t="s">
        <v>403</v>
      </c>
      <c r="B393" s="291"/>
      <c r="C393" s="291"/>
      <c r="D393" s="292"/>
      <c r="E393" s="293"/>
      <c r="F393" s="293"/>
      <c r="G393" s="293"/>
    </row>
    <row r="394" spans="1:7" s="114" customFormat="1" ht="12.75" x14ac:dyDescent="0.2">
      <c r="A394" s="474" t="s">
        <v>866</v>
      </c>
      <c r="B394" s="475"/>
      <c r="C394" s="475"/>
      <c r="D394" s="475"/>
      <c r="E394" s="285">
        <f>E391-E395</f>
        <v>23007</v>
      </c>
      <c r="F394" s="285">
        <f>F391-F395</f>
        <v>5000</v>
      </c>
      <c r="G394" s="285">
        <f>G391-G395</f>
        <v>13000</v>
      </c>
    </row>
    <row r="395" spans="1:7" s="114" customFormat="1" ht="12.75" x14ac:dyDescent="0.2">
      <c r="A395" s="474" t="s">
        <v>869</v>
      </c>
      <c r="B395" s="475"/>
      <c r="C395" s="475"/>
      <c r="D395" s="475"/>
      <c r="E395" s="285">
        <v>39993</v>
      </c>
      <c r="F395" s="285">
        <v>58000</v>
      </c>
      <c r="G395" s="285">
        <v>50000</v>
      </c>
    </row>
    <row r="396" spans="1:7" s="114" customFormat="1" ht="12.75" x14ac:dyDescent="0.2">
      <c r="A396" s="476">
        <v>3</v>
      </c>
      <c r="B396" s="477"/>
      <c r="C396" s="478"/>
      <c r="D396" s="36" t="s">
        <v>18</v>
      </c>
      <c r="E396" s="66">
        <f>E397</f>
        <v>63000</v>
      </c>
      <c r="F396" s="66">
        <f t="shared" ref="F396:G396" si="99">F397</f>
        <v>63000</v>
      </c>
      <c r="G396" s="66">
        <f t="shared" si="99"/>
        <v>63000</v>
      </c>
    </row>
    <row r="397" spans="1:7" s="114" customFormat="1" ht="12.75" x14ac:dyDescent="0.2">
      <c r="A397" s="479">
        <v>38</v>
      </c>
      <c r="B397" s="480"/>
      <c r="C397" s="481"/>
      <c r="D397" s="36" t="s">
        <v>49</v>
      </c>
      <c r="E397" s="202">
        <v>63000</v>
      </c>
      <c r="F397" s="202">
        <v>63000</v>
      </c>
      <c r="G397" s="202">
        <v>63000</v>
      </c>
    </row>
    <row r="398" spans="1:7" s="114" customFormat="1" ht="12.75" x14ac:dyDescent="0.2">
      <c r="A398" s="289" t="s">
        <v>380</v>
      </c>
      <c r="B398" s="289"/>
      <c r="C398" s="289"/>
      <c r="D398" s="289"/>
      <c r="E398" s="288">
        <f t="shared" ref="E398:G398" si="100">E399</f>
        <v>6000</v>
      </c>
      <c r="F398" s="288">
        <f t="shared" si="100"/>
        <v>6000</v>
      </c>
      <c r="G398" s="288">
        <f t="shared" si="100"/>
        <v>6000</v>
      </c>
    </row>
    <row r="399" spans="1:7" s="114" customFormat="1" ht="12.75" x14ac:dyDescent="0.2">
      <c r="A399" s="486" t="s">
        <v>532</v>
      </c>
      <c r="B399" s="486"/>
      <c r="C399" s="486"/>
      <c r="D399" s="486"/>
      <c r="E399" s="313">
        <f t="shared" ref="E399:G399" si="101">E402</f>
        <v>6000</v>
      </c>
      <c r="F399" s="313">
        <f t="shared" si="101"/>
        <v>6000</v>
      </c>
      <c r="G399" s="313">
        <f t="shared" si="101"/>
        <v>6000</v>
      </c>
    </row>
    <row r="400" spans="1:7" s="114" customFormat="1" ht="12.75" x14ac:dyDescent="0.2">
      <c r="A400" s="290" t="s">
        <v>404</v>
      </c>
      <c r="B400" s="291"/>
      <c r="C400" s="291"/>
      <c r="D400" s="292"/>
      <c r="E400" s="293"/>
      <c r="F400" s="293"/>
      <c r="G400" s="293"/>
    </row>
    <row r="401" spans="1:7" s="114" customFormat="1" ht="12.75" x14ac:dyDescent="0.2">
      <c r="A401" s="474" t="s">
        <v>866</v>
      </c>
      <c r="B401" s="475"/>
      <c r="C401" s="475"/>
      <c r="D401" s="475"/>
      <c r="E401" s="285">
        <f>E402</f>
        <v>6000</v>
      </c>
      <c r="F401" s="285">
        <f>F402</f>
        <v>6000</v>
      </c>
      <c r="G401" s="285">
        <f>G402</f>
        <v>6000</v>
      </c>
    </row>
    <row r="402" spans="1:7" s="114" customFormat="1" ht="12.75" x14ac:dyDescent="0.2">
      <c r="A402" s="476">
        <v>3</v>
      </c>
      <c r="B402" s="477"/>
      <c r="C402" s="478"/>
      <c r="D402" s="36" t="s">
        <v>18</v>
      </c>
      <c r="E402" s="66">
        <f>E403</f>
        <v>6000</v>
      </c>
      <c r="F402" s="66">
        <f t="shared" ref="F402:G402" si="102">F403</f>
        <v>6000</v>
      </c>
      <c r="G402" s="66">
        <f t="shared" si="102"/>
        <v>6000</v>
      </c>
    </row>
    <row r="403" spans="1:7" s="114" customFormat="1" ht="12.75" x14ac:dyDescent="0.2">
      <c r="A403" s="479">
        <v>38</v>
      </c>
      <c r="B403" s="480"/>
      <c r="C403" s="481"/>
      <c r="D403" s="36" t="s">
        <v>49</v>
      </c>
      <c r="E403" s="202">
        <v>6000</v>
      </c>
      <c r="F403" s="202">
        <v>6000</v>
      </c>
      <c r="G403" s="202">
        <v>6000</v>
      </c>
    </row>
    <row r="404" spans="1:7" s="114" customFormat="1" ht="12.75" x14ac:dyDescent="0.2">
      <c r="A404" s="492" t="s">
        <v>498</v>
      </c>
      <c r="B404" s="493"/>
      <c r="C404" s="493"/>
      <c r="D404" s="494"/>
      <c r="E404" s="282">
        <f>E405</f>
        <v>5000</v>
      </c>
      <c r="F404" s="282">
        <f t="shared" ref="F404:G404" si="103">F405</f>
        <v>25000</v>
      </c>
      <c r="G404" s="282">
        <f t="shared" si="103"/>
        <v>5000</v>
      </c>
    </row>
    <row r="405" spans="1:7" s="114" customFormat="1" ht="12.75" x14ac:dyDescent="0.2">
      <c r="A405" s="511" t="s">
        <v>533</v>
      </c>
      <c r="B405" s="512"/>
      <c r="C405" s="512"/>
      <c r="D405" s="513"/>
      <c r="E405" s="309">
        <f t="shared" ref="E405:G405" si="104">E408</f>
        <v>5000</v>
      </c>
      <c r="F405" s="309">
        <f t="shared" si="104"/>
        <v>25000</v>
      </c>
      <c r="G405" s="309">
        <f t="shared" si="104"/>
        <v>5000</v>
      </c>
    </row>
    <row r="406" spans="1:7" s="114" customFormat="1" ht="12.75" x14ac:dyDescent="0.2">
      <c r="A406" s="290" t="s">
        <v>405</v>
      </c>
      <c r="B406" s="291"/>
      <c r="C406" s="291"/>
      <c r="D406" s="292"/>
      <c r="E406" s="293"/>
      <c r="F406" s="293"/>
      <c r="G406" s="293"/>
    </row>
    <row r="407" spans="1:7" s="114" customFormat="1" ht="12.75" x14ac:dyDescent="0.2">
      <c r="A407" s="474" t="s">
        <v>866</v>
      </c>
      <c r="B407" s="475"/>
      <c r="C407" s="475"/>
      <c r="D407" s="475"/>
      <c r="E407" s="285">
        <v>5000</v>
      </c>
      <c r="F407" s="285">
        <f>F409</f>
        <v>25000</v>
      </c>
      <c r="G407" s="285">
        <v>5000</v>
      </c>
    </row>
    <row r="408" spans="1:7" s="114" customFormat="1" ht="12.75" x14ac:dyDescent="0.2">
      <c r="A408" s="476">
        <v>3</v>
      </c>
      <c r="B408" s="477"/>
      <c r="C408" s="478"/>
      <c r="D408" s="36" t="s">
        <v>18</v>
      </c>
      <c r="E408" s="66">
        <f>E409</f>
        <v>5000</v>
      </c>
      <c r="F408" s="66">
        <f t="shared" ref="F408:G408" si="105">F409</f>
        <v>25000</v>
      </c>
      <c r="G408" s="66">
        <f t="shared" si="105"/>
        <v>5000</v>
      </c>
    </row>
    <row r="409" spans="1:7" s="114" customFormat="1" ht="12.75" x14ac:dyDescent="0.2">
      <c r="A409" s="479">
        <v>38</v>
      </c>
      <c r="B409" s="480"/>
      <c r="C409" s="481"/>
      <c r="D409" s="36" t="s">
        <v>49</v>
      </c>
      <c r="E409" s="202">
        <v>5000</v>
      </c>
      <c r="F409" s="202">
        <f>5000+20000</f>
        <v>25000</v>
      </c>
      <c r="G409" s="202">
        <v>5000</v>
      </c>
    </row>
    <row r="410" spans="1:7" s="114" customFormat="1" ht="12.75" x14ac:dyDescent="0.2">
      <c r="A410" s="281" t="s">
        <v>86</v>
      </c>
      <c r="B410" s="281"/>
      <c r="C410" s="281"/>
      <c r="D410" s="281"/>
      <c r="E410" s="275">
        <f>E414+E433+E439</f>
        <v>219440</v>
      </c>
      <c r="F410" s="275">
        <f>F414+F433+F439</f>
        <v>146150</v>
      </c>
      <c r="G410" s="275">
        <f>G414+G433+G439</f>
        <v>119900</v>
      </c>
    </row>
    <row r="411" spans="1:7" s="114" customFormat="1" ht="12.75" x14ac:dyDescent="0.2">
      <c r="A411" s="147" t="s">
        <v>867</v>
      </c>
      <c r="B411" s="148"/>
      <c r="C411" s="148"/>
      <c r="D411" s="324"/>
      <c r="E411" s="66">
        <f>E417+E424+E436+E442</f>
        <v>74700</v>
      </c>
      <c r="F411" s="66">
        <f>F417+F424+F436+F442</f>
        <v>19400</v>
      </c>
      <c r="G411" s="66">
        <f>G417+G424+G436+G442</f>
        <v>29900</v>
      </c>
    </row>
    <row r="412" spans="1:7" s="114" customFormat="1" ht="12.75" x14ac:dyDescent="0.2">
      <c r="A412" s="468" t="s">
        <v>871</v>
      </c>
      <c r="B412" s="469"/>
      <c r="C412" s="469"/>
      <c r="D412" s="470"/>
      <c r="E412" s="66">
        <f>E418</f>
        <v>30000</v>
      </c>
      <c r="F412" s="66">
        <f t="shared" ref="F412:G412" si="106">F418</f>
        <v>100000</v>
      </c>
      <c r="G412" s="66">
        <f t="shared" si="106"/>
        <v>90000</v>
      </c>
    </row>
    <row r="413" spans="1:7" s="114" customFormat="1" ht="12.75" x14ac:dyDescent="0.2">
      <c r="A413" s="147" t="s">
        <v>910</v>
      </c>
      <c r="B413" s="148"/>
      <c r="C413" s="148"/>
      <c r="D413" s="324"/>
      <c r="E413" s="66">
        <f>E429</f>
        <v>114740</v>
      </c>
      <c r="F413" s="66">
        <f>F429</f>
        <v>26750</v>
      </c>
      <c r="G413" s="66">
        <f t="shared" ref="G413" si="107">G429</f>
        <v>0</v>
      </c>
    </row>
    <row r="414" spans="1:7" s="114" customFormat="1" ht="12.75" x14ac:dyDescent="0.2">
      <c r="A414" s="48" t="s">
        <v>381</v>
      </c>
      <c r="B414" s="48"/>
      <c r="C414" s="48"/>
      <c r="D414" s="48"/>
      <c r="E414" s="49">
        <f>E415+E422+E427</f>
        <v>206040</v>
      </c>
      <c r="F414" s="49">
        <f>F415+F422+F427</f>
        <v>129750</v>
      </c>
      <c r="G414" s="49">
        <f>G415+G422+G427</f>
        <v>106500</v>
      </c>
    </row>
    <row r="415" spans="1:7" s="114" customFormat="1" ht="12.75" x14ac:dyDescent="0.2">
      <c r="A415" s="306" t="s">
        <v>534</v>
      </c>
      <c r="B415" s="307"/>
      <c r="C415" s="307"/>
      <c r="D415" s="307"/>
      <c r="E415" s="308">
        <f t="shared" ref="E415:G415" si="108">E419</f>
        <v>88800</v>
      </c>
      <c r="F415" s="308">
        <f t="shared" si="108"/>
        <v>100000</v>
      </c>
      <c r="G415" s="308">
        <f t="shared" si="108"/>
        <v>104000</v>
      </c>
    </row>
    <row r="416" spans="1:7" s="114" customFormat="1" ht="12.75" x14ac:dyDescent="0.2">
      <c r="A416" s="290" t="s">
        <v>406</v>
      </c>
      <c r="B416" s="291"/>
      <c r="C416" s="291"/>
      <c r="D416" s="292"/>
      <c r="E416" s="293"/>
      <c r="F416" s="293"/>
      <c r="G416" s="293"/>
    </row>
    <row r="417" spans="1:7" s="114" customFormat="1" ht="12.75" x14ac:dyDescent="0.2">
      <c r="A417" s="474" t="s">
        <v>866</v>
      </c>
      <c r="B417" s="475"/>
      <c r="C417" s="475"/>
      <c r="D417" s="475"/>
      <c r="E417" s="285">
        <f>E415-E418</f>
        <v>58800</v>
      </c>
      <c r="F417" s="285">
        <f>F415-F418</f>
        <v>0</v>
      </c>
      <c r="G417" s="285">
        <f>G415-G418</f>
        <v>14000</v>
      </c>
    </row>
    <row r="418" spans="1:7" s="114" customFormat="1" ht="12.75" x14ac:dyDescent="0.2">
      <c r="A418" s="474" t="s">
        <v>869</v>
      </c>
      <c r="B418" s="475"/>
      <c r="C418" s="475"/>
      <c r="D418" s="475"/>
      <c r="E418" s="285">
        <v>30000</v>
      </c>
      <c r="F418" s="285">
        <v>100000</v>
      </c>
      <c r="G418" s="285">
        <f>30000+60000</f>
        <v>90000</v>
      </c>
    </row>
    <row r="419" spans="1:7" s="114" customFormat="1" ht="12.75" x14ac:dyDescent="0.2">
      <c r="A419" s="476">
        <v>3</v>
      </c>
      <c r="B419" s="477"/>
      <c r="C419" s="478"/>
      <c r="D419" s="36" t="s">
        <v>18</v>
      </c>
      <c r="E419" s="202">
        <f>E420+E421</f>
        <v>88800</v>
      </c>
      <c r="F419" s="202">
        <f t="shared" ref="F419:G419" si="109">F420+F421</f>
        <v>100000</v>
      </c>
      <c r="G419" s="202">
        <f t="shared" si="109"/>
        <v>104000</v>
      </c>
    </row>
    <row r="420" spans="1:7" s="114" customFormat="1" ht="38.25" x14ac:dyDescent="0.2">
      <c r="A420" s="479">
        <v>37</v>
      </c>
      <c r="B420" s="480"/>
      <c r="C420" s="481"/>
      <c r="D420" s="36" t="s">
        <v>48</v>
      </c>
      <c r="E420" s="202">
        <f>1000+1500+4800+20000+6000+30000+500+6000+10000+1000</f>
        <v>80800</v>
      </c>
      <c r="F420" s="202">
        <v>92000</v>
      </c>
      <c r="G420" s="202">
        <v>95000</v>
      </c>
    </row>
    <row r="421" spans="1:7" s="114" customFormat="1" ht="12.75" x14ac:dyDescent="0.2">
      <c r="A421" s="479">
        <v>38</v>
      </c>
      <c r="B421" s="480"/>
      <c r="C421" s="481"/>
      <c r="D421" s="36" t="s">
        <v>49</v>
      </c>
      <c r="E421" s="202">
        <v>8000</v>
      </c>
      <c r="F421" s="202">
        <v>8000</v>
      </c>
      <c r="G421" s="202">
        <v>9000</v>
      </c>
    </row>
    <row r="422" spans="1:7" s="114" customFormat="1" ht="12.75" x14ac:dyDescent="0.2">
      <c r="A422" s="306" t="s">
        <v>535</v>
      </c>
      <c r="B422" s="307"/>
      <c r="C422" s="307"/>
      <c r="D422" s="311"/>
      <c r="E422" s="308">
        <f t="shared" ref="E422:G422" si="110">E425</f>
        <v>2500</v>
      </c>
      <c r="F422" s="308">
        <f t="shared" si="110"/>
        <v>3000</v>
      </c>
      <c r="G422" s="308">
        <f t="shared" si="110"/>
        <v>2500</v>
      </c>
    </row>
    <row r="423" spans="1:7" s="114" customFormat="1" ht="12.75" x14ac:dyDescent="0.2">
      <c r="A423" s="290" t="s">
        <v>406</v>
      </c>
      <c r="B423" s="291"/>
      <c r="C423" s="291"/>
      <c r="D423" s="292"/>
      <c r="E423" s="293"/>
      <c r="F423" s="293"/>
      <c r="G423" s="293"/>
    </row>
    <row r="424" spans="1:7" s="114" customFormat="1" ht="12.75" x14ac:dyDescent="0.2">
      <c r="A424" s="474" t="s">
        <v>866</v>
      </c>
      <c r="B424" s="475"/>
      <c r="C424" s="475"/>
      <c r="D424" s="475"/>
      <c r="E424" s="285">
        <f>E425</f>
        <v>2500</v>
      </c>
      <c r="F424" s="285">
        <f>F425</f>
        <v>3000</v>
      </c>
      <c r="G424" s="285">
        <f>G425</f>
        <v>2500</v>
      </c>
    </row>
    <row r="425" spans="1:7" s="114" customFormat="1" ht="12.75" x14ac:dyDescent="0.2">
      <c r="A425" s="476">
        <v>3</v>
      </c>
      <c r="B425" s="477"/>
      <c r="C425" s="478"/>
      <c r="D425" s="36" t="s">
        <v>18</v>
      </c>
      <c r="E425" s="202">
        <f>E426</f>
        <v>2500</v>
      </c>
      <c r="F425" s="202">
        <f t="shared" ref="F425:G425" si="111">F426</f>
        <v>3000</v>
      </c>
      <c r="G425" s="202">
        <f t="shared" si="111"/>
        <v>2500</v>
      </c>
    </row>
    <row r="426" spans="1:7" s="114" customFormat="1" ht="38.25" x14ac:dyDescent="0.2">
      <c r="A426" s="479">
        <v>37</v>
      </c>
      <c r="B426" s="480"/>
      <c r="C426" s="481"/>
      <c r="D426" s="36" t="s">
        <v>48</v>
      </c>
      <c r="E426" s="202">
        <v>2500</v>
      </c>
      <c r="F426" s="202">
        <v>3000</v>
      </c>
      <c r="G426" s="202">
        <v>2500</v>
      </c>
    </row>
    <row r="427" spans="1:7" s="114" customFormat="1" ht="12.75" customHeight="1" x14ac:dyDescent="0.2">
      <c r="A427" s="528" t="s">
        <v>536</v>
      </c>
      <c r="B427" s="529"/>
      <c r="C427" s="529"/>
      <c r="D427" s="530"/>
      <c r="E427" s="310">
        <f t="shared" ref="E427:G427" si="112">E430</f>
        <v>114740</v>
      </c>
      <c r="F427" s="310">
        <f t="shared" si="112"/>
        <v>26750</v>
      </c>
      <c r="G427" s="310">
        <f t="shared" si="112"/>
        <v>0</v>
      </c>
    </row>
    <row r="428" spans="1:7" s="114" customFormat="1" ht="12.75" x14ac:dyDescent="0.2">
      <c r="A428" s="290" t="s">
        <v>407</v>
      </c>
      <c r="B428" s="291"/>
      <c r="C428" s="291"/>
      <c r="D428" s="292"/>
      <c r="E428" s="293"/>
      <c r="F428" s="293"/>
      <c r="G428" s="293"/>
    </row>
    <row r="429" spans="1:7" s="114" customFormat="1" ht="12.75" x14ac:dyDescent="0.2">
      <c r="A429" s="474" t="s">
        <v>868</v>
      </c>
      <c r="B429" s="475"/>
      <c r="C429" s="475"/>
      <c r="D429" s="483"/>
      <c r="E429" s="285">
        <f>E430</f>
        <v>114740</v>
      </c>
      <c r="F429" s="285">
        <f>F430</f>
        <v>26750</v>
      </c>
      <c r="G429" s="285"/>
    </row>
    <row r="430" spans="1:7" s="114" customFormat="1" ht="12.75" x14ac:dyDescent="0.2">
      <c r="A430" s="476">
        <v>3</v>
      </c>
      <c r="B430" s="477"/>
      <c r="C430" s="478"/>
      <c r="D430" s="36" t="s">
        <v>18</v>
      </c>
      <c r="E430" s="202">
        <f>E431+E432</f>
        <v>114740</v>
      </c>
      <c r="F430" s="202">
        <f t="shared" ref="F430" si="113">F431+F432</f>
        <v>26750</v>
      </c>
      <c r="G430" s="336"/>
    </row>
    <row r="431" spans="1:7" s="114" customFormat="1" ht="12.75" x14ac:dyDescent="0.2">
      <c r="A431" s="479">
        <v>31</v>
      </c>
      <c r="B431" s="480"/>
      <c r="C431" s="481"/>
      <c r="D431" s="36" t="s">
        <v>21</v>
      </c>
      <c r="E431" s="202">
        <f>91080+4900+14560</f>
        <v>110540</v>
      </c>
      <c r="F431" s="202">
        <v>25700</v>
      </c>
      <c r="G431" s="336"/>
    </row>
    <row r="432" spans="1:7" s="114" customFormat="1" ht="12.75" x14ac:dyDescent="0.2">
      <c r="A432" s="479">
        <v>32</v>
      </c>
      <c r="B432" s="480"/>
      <c r="C432" s="481"/>
      <c r="D432" s="36" t="s">
        <v>32</v>
      </c>
      <c r="E432" s="202">
        <v>4200</v>
      </c>
      <c r="F432" s="202">
        <v>1050</v>
      </c>
      <c r="G432" s="336"/>
    </row>
    <row r="433" spans="1:7" s="114" customFormat="1" ht="12.75" x14ac:dyDescent="0.2">
      <c r="A433" s="492" t="s">
        <v>382</v>
      </c>
      <c r="B433" s="493"/>
      <c r="C433" s="493"/>
      <c r="D433" s="494"/>
      <c r="E433" s="288">
        <f>E434</f>
        <v>2400</v>
      </c>
      <c r="F433" s="288">
        <f t="shared" ref="F433:G433" si="114">F434</f>
        <v>2400</v>
      </c>
      <c r="G433" s="288">
        <f t="shared" si="114"/>
        <v>2400</v>
      </c>
    </row>
    <row r="434" spans="1:7" s="114" customFormat="1" ht="12.75" x14ac:dyDescent="0.2">
      <c r="A434" s="511" t="s">
        <v>537</v>
      </c>
      <c r="B434" s="512"/>
      <c r="C434" s="512"/>
      <c r="D434" s="513"/>
      <c r="E434" s="309">
        <f t="shared" ref="E434:G434" si="115">E437</f>
        <v>2400</v>
      </c>
      <c r="F434" s="309">
        <f t="shared" si="115"/>
        <v>2400</v>
      </c>
      <c r="G434" s="309">
        <f t="shared" si="115"/>
        <v>2400</v>
      </c>
    </row>
    <row r="435" spans="1:7" s="114" customFormat="1" ht="12.75" x14ac:dyDescent="0.2">
      <c r="A435" s="558" t="s">
        <v>896</v>
      </c>
      <c r="B435" s="559"/>
      <c r="C435" s="559"/>
      <c r="D435" s="559"/>
      <c r="E435" s="559"/>
      <c r="F435" s="559"/>
      <c r="G435" s="560"/>
    </row>
    <row r="436" spans="1:7" s="114" customFormat="1" ht="12.75" x14ac:dyDescent="0.2">
      <c r="A436" s="474" t="s">
        <v>866</v>
      </c>
      <c r="B436" s="475"/>
      <c r="C436" s="475"/>
      <c r="D436" s="475"/>
      <c r="E436" s="285">
        <f>E437</f>
        <v>2400</v>
      </c>
      <c r="F436" s="285">
        <f>F437</f>
        <v>2400</v>
      </c>
      <c r="G436" s="285">
        <f>G437</f>
        <v>2400</v>
      </c>
    </row>
    <row r="437" spans="1:7" s="114" customFormat="1" ht="12.75" x14ac:dyDescent="0.2">
      <c r="A437" s="476">
        <v>3</v>
      </c>
      <c r="B437" s="477"/>
      <c r="C437" s="478"/>
      <c r="D437" s="36" t="s">
        <v>18</v>
      </c>
      <c r="E437" s="202">
        <f>E438</f>
        <v>2400</v>
      </c>
      <c r="F437" s="202">
        <f t="shared" ref="F437:G437" si="116">F438</f>
        <v>2400</v>
      </c>
      <c r="G437" s="202">
        <f t="shared" si="116"/>
        <v>2400</v>
      </c>
    </row>
    <row r="438" spans="1:7" s="114" customFormat="1" ht="12.75" x14ac:dyDescent="0.2">
      <c r="A438" s="479">
        <v>38</v>
      </c>
      <c r="B438" s="480"/>
      <c r="C438" s="481"/>
      <c r="D438" s="36" t="s">
        <v>49</v>
      </c>
      <c r="E438" s="202">
        <v>2400</v>
      </c>
      <c r="F438" s="202">
        <v>2400</v>
      </c>
      <c r="G438" s="202">
        <v>2400</v>
      </c>
    </row>
    <row r="439" spans="1:7" s="114" customFormat="1" ht="12.75" x14ac:dyDescent="0.2">
      <c r="A439" s="492" t="s">
        <v>383</v>
      </c>
      <c r="B439" s="493"/>
      <c r="C439" s="493"/>
      <c r="D439" s="494"/>
      <c r="E439" s="287">
        <f>E440</f>
        <v>11000</v>
      </c>
      <c r="F439" s="287">
        <f t="shared" ref="F439:G439" si="117">F440</f>
        <v>14000</v>
      </c>
      <c r="G439" s="287">
        <f t="shared" si="117"/>
        <v>11000</v>
      </c>
    </row>
    <row r="440" spans="1:7" s="114" customFormat="1" ht="13.5" customHeight="1" x14ac:dyDescent="0.2">
      <c r="A440" s="528" t="s">
        <v>538</v>
      </c>
      <c r="B440" s="529"/>
      <c r="C440" s="529"/>
      <c r="D440" s="530"/>
      <c r="E440" s="308">
        <f t="shared" ref="E440:G440" si="118">E443</f>
        <v>11000</v>
      </c>
      <c r="F440" s="308">
        <f t="shared" si="118"/>
        <v>14000</v>
      </c>
      <c r="G440" s="308">
        <f t="shared" si="118"/>
        <v>11000</v>
      </c>
    </row>
    <row r="441" spans="1:7" s="114" customFormat="1" ht="12.75" x14ac:dyDescent="0.2">
      <c r="A441" s="290" t="s">
        <v>409</v>
      </c>
      <c r="B441" s="291"/>
      <c r="C441" s="291"/>
      <c r="D441" s="292"/>
      <c r="E441" s="293"/>
      <c r="F441" s="293"/>
      <c r="G441" s="293"/>
    </row>
    <row r="442" spans="1:7" s="114" customFormat="1" ht="12.75" x14ac:dyDescent="0.2">
      <c r="A442" s="474" t="s">
        <v>866</v>
      </c>
      <c r="B442" s="475"/>
      <c r="C442" s="475"/>
      <c r="D442" s="475"/>
      <c r="E442" s="285">
        <f>E443</f>
        <v>11000</v>
      </c>
      <c r="F442" s="285">
        <f>F443</f>
        <v>14000</v>
      </c>
      <c r="G442" s="285">
        <f>G443</f>
        <v>11000</v>
      </c>
    </row>
    <row r="443" spans="1:7" s="114" customFormat="1" ht="12.75" x14ac:dyDescent="0.2">
      <c r="A443" s="476">
        <v>3</v>
      </c>
      <c r="B443" s="477"/>
      <c r="C443" s="478"/>
      <c r="D443" s="36" t="s">
        <v>18</v>
      </c>
      <c r="E443" s="66">
        <f>E444</f>
        <v>11000</v>
      </c>
      <c r="F443" s="66">
        <f t="shared" ref="F443:G443" si="119">F444</f>
        <v>14000</v>
      </c>
      <c r="G443" s="66">
        <f t="shared" si="119"/>
        <v>11000</v>
      </c>
    </row>
    <row r="444" spans="1:7" s="114" customFormat="1" ht="12.75" x14ac:dyDescent="0.2">
      <c r="A444" s="479">
        <v>38</v>
      </c>
      <c r="B444" s="480"/>
      <c r="C444" s="481"/>
      <c r="D444" s="36" t="s">
        <v>49</v>
      </c>
      <c r="E444" s="202">
        <v>11000</v>
      </c>
      <c r="F444" s="202">
        <v>14000</v>
      </c>
      <c r="G444" s="202">
        <v>11000</v>
      </c>
    </row>
    <row r="445" spans="1:7" s="114" customFormat="1" ht="12.75" x14ac:dyDescent="0.2">
      <c r="A445" s="552" t="s">
        <v>90</v>
      </c>
      <c r="B445" s="553"/>
      <c r="C445" s="553"/>
      <c r="D445" s="554"/>
      <c r="E445" s="305">
        <f>E447</f>
        <v>13000</v>
      </c>
      <c r="F445" s="305">
        <f>F447</f>
        <v>13000</v>
      </c>
      <c r="G445" s="305">
        <f>G447</f>
        <v>13000</v>
      </c>
    </row>
    <row r="446" spans="1:7" s="114" customFormat="1" ht="12.75" x14ac:dyDescent="0.2">
      <c r="A446" s="147" t="s">
        <v>867</v>
      </c>
      <c r="B446" s="148"/>
      <c r="C446" s="148"/>
      <c r="D446" s="324"/>
      <c r="E446" s="203">
        <f>E450</f>
        <v>13000</v>
      </c>
      <c r="F446" s="203">
        <f t="shared" ref="F446:G446" si="120">F450</f>
        <v>13000</v>
      </c>
      <c r="G446" s="203">
        <f t="shared" si="120"/>
        <v>13000</v>
      </c>
    </row>
    <row r="447" spans="1:7" s="114" customFormat="1" ht="12.75" x14ac:dyDescent="0.2">
      <c r="A447" s="289" t="s">
        <v>384</v>
      </c>
      <c r="B447" s="289"/>
      <c r="C447" s="289"/>
      <c r="D447" s="289"/>
      <c r="E447" s="288">
        <f t="shared" ref="E447:G447" si="121">E448</f>
        <v>13000</v>
      </c>
      <c r="F447" s="288">
        <f t="shared" si="121"/>
        <v>13000</v>
      </c>
      <c r="G447" s="288">
        <f t="shared" si="121"/>
        <v>13000</v>
      </c>
    </row>
    <row r="448" spans="1:7" s="114" customFormat="1" ht="12.75" x14ac:dyDescent="0.2">
      <c r="A448" s="306" t="s">
        <v>539</v>
      </c>
      <c r="B448" s="307"/>
      <c r="C448" s="307"/>
      <c r="D448" s="307"/>
      <c r="E448" s="308">
        <f t="shared" ref="E448:G448" si="122">E451</f>
        <v>13000</v>
      </c>
      <c r="F448" s="308">
        <f t="shared" si="122"/>
        <v>13000</v>
      </c>
      <c r="G448" s="308">
        <f t="shared" si="122"/>
        <v>13000</v>
      </c>
    </row>
    <row r="449" spans="1:7" s="114" customFormat="1" ht="12.75" x14ac:dyDescent="0.2">
      <c r="A449" s="290" t="s">
        <v>410</v>
      </c>
      <c r="B449" s="291"/>
      <c r="C449" s="291"/>
      <c r="D449" s="292"/>
      <c r="E449" s="293"/>
      <c r="F449" s="293"/>
      <c r="G449" s="293"/>
    </row>
    <row r="450" spans="1:7" s="114" customFormat="1" ht="12.75" x14ac:dyDescent="0.2">
      <c r="A450" s="474" t="s">
        <v>866</v>
      </c>
      <c r="B450" s="475"/>
      <c r="C450" s="475"/>
      <c r="D450" s="475"/>
      <c r="E450" s="285">
        <f>E451</f>
        <v>13000</v>
      </c>
      <c r="F450" s="285">
        <f>F451</f>
        <v>13000</v>
      </c>
      <c r="G450" s="285">
        <f>G451</f>
        <v>13000</v>
      </c>
    </row>
    <row r="451" spans="1:7" s="114" customFormat="1" ht="12.75" x14ac:dyDescent="0.2">
      <c r="A451" s="476">
        <v>3</v>
      </c>
      <c r="B451" s="477"/>
      <c r="C451" s="478"/>
      <c r="D451" s="36" t="s">
        <v>18</v>
      </c>
      <c r="E451" s="66">
        <f>E452</f>
        <v>13000</v>
      </c>
      <c r="F451" s="66">
        <f t="shared" ref="F451:G451" si="123">F452</f>
        <v>13000</v>
      </c>
      <c r="G451" s="66">
        <f t="shared" si="123"/>
        <v>13000</v>
      </c>
    </row>
    <row r="452" spans="1:7" s="114" customFormat="1" ht="12.75" x14ac:dyDescent="0.2">
      <c r="A452" s="479">
        <v>38</v>
      </c>
      <c r="B452" s="480"/>
      <c r="C452" s="481"/>
      <c r="D452" s="36" t="s">
        <v>49</v>
      </c>
      <c r="E452" s="202">
        <v>13000</v>
      </c>
      <c r="F452" s="202">
        <v>13000</v>
      </c>
      <c r="G452" s="202">
        <v>13000</v>
      </c>
    </row>
    <row r="453" spans="1:7" x14ac:dyDescent="0.25">
      <c r="E453" s="340"/>
      <c r="F453" s="340"/>
      <c r="G453" s="340"/>
    </row>
    <row r="454" spans="1:7" s="112" customFormat="1" ht="12.75" x14ac:dyDescent="0.2">
      <c r="A454" s="523" t="s">
        <v>586</v>
      </c>
      <c r="B454" s="523"/>
      <c r="C454" s="523"/>
      <c r="D454" s="523"/>
      <c r="E454" s="523"/>
      <c r="F454" s="523"/>
      <c r="G454" s="523"/>
    </row>
    <row r="455" spans="1:7" s="114" customFormat="1" ht="12.75" x14ac:dyDescent="0.2">
      <c r="A455" s="114" t="s">
        <v>922</v>
      </c>
      <c r="E455" s="126"/>
      <c r="F455" s="126"/>
      <c r="G455" s="126"/>
    </row>
    <row r="456" spans="1:7" x14ac:dyDescent="0.25">
      <c r="E456" s="32"/>
      <c r="F456" s="32"/>
      <c r="G456" s="32"/>
    </row>
    <row r="457" spans="1:7" x14ac:dyDescent="0.25">
      <c r="E457" s="32"/>
      <c r="F457" s="32"/>
      <c r="G457" s="32"/>
    </row>
    <row r="458" spans="1:7" x14ac:dyDescent="0.25">
      <c r="A458" s="527" t="s">
        <v>923</v>
      </c>
      <c r="B458" s="527"/>
      <c r="C458" s="527"/>
      <c r="D458" s="527"/>
      <c r="E458" s="527"/>
      <c r="F458" s="527"/>
      <c r="G458" s="527"/>
    </row>
    <row r="459" spans="1:7" x14ac:dyDescent="0.25">
      <c r="E459" s="32"/>
      <c r="F459" s="32"/>
      <c r="G459" s="32"/>
    </row>
    <row r="460" spans="1:7" s="112" customFormat="1" ht="12.75" x14ac:dyDescent="0.2">
      <c r="A460" s="523" t="s">
        <v>587</v>
      </c>
      <c r="B460" s="523"/>
      <c r="C460" s="523"/>
      <c r="D460" s="523"/>
      <c r="E460" s="523"/>
      <c r="F460" s="523"/>
      <c r="G460" s="523"/>
    </row>
    <row r="461" spans="1:7" s="114" customFormat="1" ht="12.75" x14ac:dyDescent="0.2">
      <c r="A461" s="516" t="s">
        <v>495</v>
      </c>
      <c r="B461" s="516"/>
      <c r="C461" s="516"/>
      <c r="D461" s="516"/>
      <c r="E461" s="516"/>
      <c r="F461" s="516"/>
      <c r="G461" s="516"/>
    </row>
    <row r="462" spans="1:7" s="114" customFormat="1" ht="12.75" x14ac:dyDescent="0.2">
      <c r="A462" s="449" t="s">
        <v>920</v>
      </c>
      <c r="B462" s="449"/>
      <c r="C462" s="449"/>
      <c r="D462" s="449"/>
      <c r="E462" s="449"/>
      <c r="F462" s="449"/>
      <c r="G462" s="449"/>
    </row>
    <row r="463" spans="1:7" x14ac:dyDescent="0.25">
      <c r="A463" s="51"/>
      <c r="B463" s="51"/>
      <c r="C463" s="51"/>
      <c r="D463" s="51"/>
      <c r="E463" s="51"/>
      <c r="F463" s="51"/>
      <c r="G463" s="51"/>
    </row>
    <row r="464" spans="1:7" x14ac:dyDescent="0.25">
      <c r="A464" s="51"/>
      <c r="B464" s="51"/>
      <c r="C464" s="51"/>
      <c r="D464" s="51"/>
      <c r="E464" s="51"/>
      <c r="F464" s="51"/>
      <c r="G464" s="51"/>
    </row>
    <row r="465" spans="1:7" x14ac:dyDescent="0.25">
      <c r="A465" s="51"/>
      <c r="B465" s="51"/>
      <c r="C465" s="51"/>
      <c r="D465" s="579" t="s">
        <v>930</v>
      </c>
      <c r="E465" s="580"/>
      <c r="F465" s="580"/>
      <c r="G465" s="51"/>
    </row>
    <row r="466" spans="1:7" x14ac:dyDescent="0.25">
      <c r="A466" s="51"/>
      <c r="B466" s="51"/>
      <c r="C466" s="51"/>
      <c r="D466" s="51"/>
      <c r="E466" s="51"/>
      <c r="F466" s="51"/>
      <c r="G466" s="51"/>
    </row>
    <row r="467" spans="1:7" s="422" customFormat="1" x14ac:dyDescent="0.25">
      <c r="A467" s="422" t="s">
        <v>929</v>
      </c>
      <c r="E467" s="423"/>
      <c r="F467" s="423"/>
      <c r="G467" s="423"/>
    </row>
    <row r="468" spans="1:7" s="422" customFormat="1" x14ac:dyDescent="0.25">
      <c r="A468" s="422" t="s">
        <v>928</v>
      </c>
      <c r="E468" s="423"/>
      <c r="F468" s="423"/>
      <c r="G468" s="423"/>
    </row>
    <row r="469" spans="1:7" s="422" customFormat="1" x14ac:dyDescent="0.25">
      <c r="A469" s="422" t="s">
        <v>927</v>
      </c>
      <c r="E469" s="423"/>
      <c r="F469" s="423"/>
      <c r="G469" s="423"/>
    </row>
    <row r="470" spans="1:7" x14ac:dyDescent="0.25">
      <c r="E470" s="32"/>
      <c r="F470" s="32"/>
      <c r="G470" s="97" t="s">
        <v>559</v>
      </c>
    </row>
    <row r="471" spans="1:7" x14ac:dyDescent="0.25">
      <c r="G471" s="63"/>
    </row>
    <row r="472" spans="1:7" x14ac:dyDescent="0.25">
      <c r="G472" s="71" t="s">
        <v>921</v>
      </c>
    </row>
  </sheetData>
  <mergeCells count="372">
    <mergeCell ref="D465:F465"/>
    <mergeCell ref="E357:E358"/>
    <mergeCell ref="F357:F358"/>
    <mergeCell ref="G357:G358"/>
    <mergeCell ref="E369:E370"/>
    <mergeCell ref="F369:F370"/>
    <mergeCell ref="G369:G370"/>
    <mergeCell ref="E391:E392"/>
    <mergeCell ref="F391:F392"/>
    <mergeCell ref="G391:G392"/>
    <mergeCell ref="A418:D418"/>
    <mergeCell ref="A424:D424"/>
    <mergeCell ref="A417:D417"/>
    <mergeCell ref="A451:C451"/>
    <mergeCell ref="A430:C430"/>
    <mergeCell ref="A431:C431"/>
    <mergeCell ref="A432:C432"/>
    <mergeCell ref="A433:D433"/>
    <mergeCell ref="A434:D434"/>
    <mergeCell ref="A419:C419"/>
    <mergeCell ref="A420:C420"/>
    <mergeCell ref="A425:C425"/>
    <mergeCell ref="A426:C426"/>
    <mergeCell ref="A429:D429"/>
    <mergeCell ref="A217:D217"/>
    <mergeCell ref="A219:D219"/>
    <mergeCell ref="A220:C220"/>
    <mergeCell ref="A221:C221"/>
    <mergeCell ref="A347:C347"/>
    <mergeCell ref="A377:D377"/>
    <mergeCell ref="A349:C349"/>
    <mergeCell ref="A350:C350"/>
    <mergeCell ref="A295:D295"/>
    <mergeCell ref="A297:D297"/>
    <mergeCell ref="A240:D240"/>
    <mergeCell ref="A246:D246"/>
    <mergeCell ref="A258:D258"/>
    <mergeCell ref="A266:D266"/>
    <mergeCell ref="A275:D275"/>
    <mergeCell ref="A283:D283"/>
    <mergeCell ref="A316:D316"/>
    <mergeCell ref="A344:D344"/>
    <mergeCell ref="A353:D353"/>
    <mergeCell ref="A233:D233"/>
    <mergeCell ref="A241:D241"/>
    <mergeCell ref="A292:D292"/>
    <mergeCell ref="A287:D287"/>
    <mergeCell ref="A289:D289"/>
    <mergeCell ref="F230:F231"/>
    <mergeCell ref="G230:G231"/>
    <mergeCell ref="A230:D230"/>
    <mergeCell ref="A239:D239"/>
    <mergeCell ref="A119:D119"/>
    <mergeCell ref="F187:F188"/>
    <mergeCell ref="G187:G188"/>
    <mergeCell ref="A320:C320"/>
    <mergeCell ref="F228:F229"/>
    <mergeCell ref="G228:G229"/>
    <mergeCell ref="A286:C286"/>
    <mergeCell ref="E271:E273"/>
    <mergeCell ref="A260:C260"/>
    <mergeCell ref="A313:D313"/>
    <mergeCell ref="A276:D276"/>
    <mergeCell ref="A214:D214"/>
    <mergeCell ref="A191:D191"/>
    <mergeCell ref="A190:D190"/>
    <mergeCell ref="E187:E188"/>
    <mergeCell ref="A225:D225"/>
    <mergeCell ref="A213:D213"/>
    <mergeCell ref="A290:D290"/>
    <mergeCell ref="A309:D309"/>
    <mergeCell ref="A244:D244"/>
    <mergeCell ref="F341:F342"/>
    <mergeCell ref="G341:G342"/>
    <mergeCell ref="E341:E342"/>
    <mergeCell ref="A321:C321"/>
    <mergeCell ref="A318:C318"/>
    <mergeCell ref="A319:C319"/>
    <mergeCell ref="A314:D314"/>
    <mergeCell ref="A341:D341"/>
    <mergeCell ref="A317:D317"/>
    <mergeCell ref="A293:C293"/>
    <mergeCell ref="A251:D251"/>
    <mergeCell ref="A271:D273"/>
    <mergeCell ref="A281:D281"/>
    <mergeCell ref="A270:C270"/>
    <mergeCell ref="A264:D264"/>
    <mergeCell ref="A277:C277"/>
    <mergeCell ref="A269:C269"/>
    <mergeCell ref="A284:D284"/>
    <mergeCell ref="A259:D259"/>
    <mergeCell ref="A267:D267"/>
    <mergeCell ref="A452:C452"/>
    <mergeCell ref="A171:C171"/>
    <mergeCell ref="A162:C162"/>
    <mergeCell ref="A193:C193"/>
    <mergeCell ref="A194:C194"/>
    <mergeCell ref="A210:D210"/>
    <mergeCell ref="A215:C215"/>
    <mergeCell ref="A216:C216"/>
    <mergeCell ref="A163:D163"/>
    <mergeCell ref="A164:D164"/>
    <mergeCell ref="A180:D180"/>
    <mergeCell ref="A185:C185"/>
    <mergeCell ref="A186:C186"/>
    <mergeCell ref="A187:D188"/>
    <mergeCell ref="A262:C262"/>
    <mergeCell ref="A234:C234"/>
    <mergeCell ref="A235:C235"/>
    <mergeCell ref="A257:G257"/>
    <mergeCell ref="E230:E231"/>
    <mergeCell ref="A333:D333"/>
    <mergeCell ref="A291:D291"/>
    <mergeCell ref="A200:D200"/>
    <mergeCell ref="A228:D228"/>
    <mergeCell ref="A263:D263"/>
    <mergeCell ref="A439:D439"/>
    <mergeCell ref="A427:D427"/>
    <mergeCell ref="A435:G435"/>
    <mergeCell ref="A421:C421"/>
    <mergeCell ref="A437:C437"/>
    <mergeCell ref="A438:C438"/>
    <mergeCell ref="A440:D440"/>
    <mergeCell ref="A443:C443"/>
    <mergeCell ref="A444:C444"/>
    <mergeCell ref="A208:C208"/>
    <mergeCell ref="A445:D445"/>
    <mergeCell ref="A450:D450"/>
    <mergeCell ref="A442:D442"/>
    <mergeCell ref="A436:D436"/>
    <mergeCell ref="A405:D405"/>
    <mergeCell ref="A404:D404"/>
    <mergeCell ref="A351:D351"/>
    <mergeCell ref="A346:C346"/>
    <mergeCell ref="A348:C348"/>
    <mergeCell ref="A356:D356"/>
    <mergeCell ref="A357:D357"/>
    <mergeCell ref="A358:D358"/>
    <mergeCell ref="A360:D360"/>
    <mergeCell ref="A366:D366"/>
    <mergeCell ref="A376:D376"/>
    <mergeCell ref="A384:D384"/>
    <mergeCell ref="A368:C368"/>
    <mergeCell ref="A386:C386"/>
    <mergeCell ref="A367:C367"/>
    <mergeCell ref="A354:C354"/>
    <mergeCell ref="A380:C380"/>
    <mergeCell ref="A381:D381"/>
    <mergeCell ref="A382:D382"/>
    <mergeCell ref="A268:D268"/>
    <mergeCell ref="A395:D395"/>
    <mergeCell ref="A30:D30"/>
    <mergeCell ref="A57:D57"/>
    <mergeCell ref="A60:D60"/>
    <mergeCell ref="A336:C336"/>
    <mergeCell ref="A337:C337"/>
    <mergeCell ref="A338:C338"/>
    <mergeCell ref="A339:C339"/>
    <mergeCell ref="A306:C306"/>
    <mergeCell ref="A278:C278"/>
    <mergeCell ref="A173:D173"/>
    <mergeCell ref="A178:C178"/>
    <mergeCell ref="A192:D192"/>
    <mergeCell ref="A183:D183"/>
    <mergeCell ref="A182:D182"/>
    <mergeCell ref="A144:D144"/>
    <mergeCell ref="A139:D139"/>
    <mergeCell ref="A177:D177"/>
    <mergeCell ref="A184:D184"/>
    <mergeCell ref="A132:D132"/>
    <mergeCell ref="A133:D133"/>
    <mergeCell ref="A167:D167"/>
    <mergeCell ref="A160:D160"/>
    <mergeCell ref="A301:D301"/>
    <mergeCell ref="A303:D303"/>
    <mergeCell ref="A304:D304"/>
    <mergeCell ref="A305:C305"/>
    <mergeCell ref="A389:D389"/>
    <mergeCell ref="A345:D345"/>
    <mergeCell ref="A370:D370"/>
    <mergeCell ref="A374:D374"/>
    <mergeCell ref="A355:C355"/>
    <mergeCell ref="A378:C378"/>
    <mergeCell ref="A379:C379"/>
    <mergeCell ref="A361:C361"/>
    <mergeCell ref="A362:C362"/>
    <mergeCell ref="A385:C385"/>
    <mergeCell ref="A161:C161"/>
    <mergeCell ref="A148:D148"/>
    <mergeCell ref="A212:D212"/>
    <mergeCell ref="A61:C61"/>
    <mergeCell ref="A62:C62"/>
    <mergeCell ref="A45:D45"/>
    <mergeCell ref="A65:D65"/>
    <mergeCell ref="A72:D72"/>
    <mergeCell ref="A81:C81"/>
    <mergeCell ref="A94:D94"/>
    <mergeCell ref="A91:C91"/>
    <mergeCell ref="A70:D70"/>
    <mergeCell ref="A73:C73"/>
    <mergeCell ref="A69:D69"/>
    <mergeCell ref="A74:C74"/>
    <mergeCell ref="A209:C209"/>
    <mergeCell ref="A207:D207"/>
    <mergeCell ref="A66:D66"/>
    <mergeCell ref="A98:D98"/>
    <mergeCell ref="A89:D89"/>
    <mergeCell ref="A170:D170"/>
    <mergeCell ref="A166:D166"/>
    <mergeCell ref="A175:D175"/>
    <mergeCell ref="A176:D176"/>
    <mergeCell ref="A27:D27"/>
    <mergeCell ref="A2:G2"/>
    <mergeCell ref="A8:C8"/>
    <mergeCell ref="A17:C17"/>
    <mergeCell ref="A10:D10"/>
    <mergeCell ref="A11:D11"/>
    <mergeCell ref="A14:D14"/>
    <mergeCell ref="A16:D16"/>
    <mergeCell ref="A21:D21"/>
    <mergeCell ref="A6:G6"/>
    <mergeCell ref="A5:G5"/>
    <mergeCell ref="A4:G4"/>
    <mergeCell ref="A9:D9"/>
    <mergeCell ref="F7:G7"/>
    <mergeCell ref="A18:C18"/>
    <mergeCell ref="A25:C25"/>
    <mergeCell ref="A20:C20"/>
    <mergeCell ref="A19:C19"/>
    <mergeCell ref="A24:C24"/>
    <mergeCell ref="A23:D23"/>
    <mergeCell ref="A26:C26"/>
    <mergeCell ref="A28:D28"/>
    <mergeCell ref="A75:D75"/>
    <mergeCell ref="A79:C79"/>
    <mergeCell ref="A80:C80"/>
    <mergeCell ref="A63:D63"/>
    <mergeCell ref="A53:D53"/>
    <mergeCell ref="A49:C49"/>
    <mergeCell ref="A76:D76"/>
    <mergeCell ref="A78:D78"/>
    <mergeCell ref="A32:C32"/>
    <mergeCell ref="A31:C31"/>
    <mergeCell ref="A33:D33"/>
    <mergeCell ref="A40:D40"/>
    <mergeCell ref="A41:D41"/>
    <mergeCell ref="A46:C46"/>
    <mergeCell ref="A47:C47"/>
    <mergeCell ref="A48:C48"/>
    <mergeCell ref="A43:D43"/>
    <mergeCell ref="A52:D52"/>
    <mergeCell ref="A59:D59"/>
    <mergeCell ref="G101:G102"/>
    <mergeCell ref="A460:G460"/>
    <mergeCell ref="A135:C135"/>
    <mergeCell ref="A116:D116"/>
    <mergeCell ref="A131:D131"/>
    <mergeCell ref="A136:D136"/>
    <mergeCell ref="A138:D138"/>
    <mergeCell ref="A121:C121"/>
    <mergeCell ref="A149:C149"/>
    <mergeCell ref="A130:D130"/>
    <mergeCell ref="A120:C120"/>
    <mergeCell ref="A147:D147"/>
    <mergeCell ref="A454:G454"/>
    <mergeCell ref="A102:D102"/>
    <mergeCell ref="A458:G458"/>
    <mergeCell ref="A127:C127"/>
    <mergeCell ref="A134:C134"/>
    <mergeCell ref="G112:G113"/>
    <mergeCell ref="A158:D158"/>
    <mergeCell ref="A153:D153"/>
    <mergeCell ref="A154:C154"/>
    <mergeCell ref="A155:C155"/>
    <mergeCell ref="A146:D146"/>
    <mergeCell ref="A151:D151"/>
    <mergeCell ref="G86:G87"/>
    <mergeCell ref="E86:E87"/>
    <mergeCell ref="E112:E113"/>
    <mergeCell ref="F112:F113"/>
    <mergeCell ref="A461:G461"/>
    <mergeCell ref="A462:G462"/>
    <mergeCell ref="A50:D50"/>
    <mergeCell ref="A54:D54"/>
    <mergeCell ref="A55:C55"/>
    <mergeCell ref="A56:C56"/>
    <mergeCell ref="F271:F273"/>
    <mergeCell ref="G271:G273"/>
    <mergeCell ref="A285:C285"/>
    <mergeCell ref="A279:C279"/>
    <mergeCell ref="A294:C294"/>
    <mergeCell ref="E228:E229"/>
    <mergeCell ref="A113:D113"/>
    <mergeCell ref="A115:D115"/>
    <mergeCell ref="A93:C93"/>
    <mergeCell ref="A97:D97"/>
    <mergeCell ref="A67:C67"/>
    <mergeCell ref="A68:C68"/>
    <mergeCell ref="A99:C99"/>
    <mergeCell ref="A100:C100"/>
    <mergeCell ref="F86:F87"/>
    <mergeCell ref="A111:D111"/>
    <mergeCell ref="A140:C140"/>
    <mergeCell ref="A141:C141"/>
    <mergeCell ref="A150:C150"/>
    <mergeCell ref="A112:D112"/>
    <mergeCell ref="A156:D156"/>
    <mergeCell ref="A118:D118"/>
    <mergeCell ref="A126:C126"/>
    <mergeCell ref="A95:D95"/>
    <mergeCell ref="A145:D145"/>
    <mergeCell ref="A117:D117"/>
    <mergeCell ref="A125:D125"/>
    <mergeCell ref="E101:E102"/>
    <mergeCell ref="F101:F102"/>
    <mergeCell ref="A92:C92"/>
    <mergeCell ref="A105:D105"/>
    <mergeCell ref="A104:D104"/>
    <mergeCell ref="A106:D106"/>
    <mergeCell ref="A90:D90"/>
    <mergeCell ref="A86:D86"/>
    <mergeCell ref="A122:D122"/>
    <mergeCell ref="A128:D128"/>
    <mergeCell ref="A124:D124"/>
    <mergeCell ref="A407:D407"/>
    <mergeCell ref="A334:C334"/>
    <mergeCell ref="A335:C335"/>
    <mergeCell ref="A195:D195"/>
    <mergeCell ref="A197:D197"/>
    <mergeCell ref="A202:C202"/>
    <mergeCell ref="A203:C203"/>
    <mergeCell ref="A204:D204"/>
    <mergeCell ref="A206:D206"/>
    <mergeCell ref="A199:D199"/>
    <mergeCell ref="A198:D198"/>
    <mergeCell ref="A403:C403"/>
    <mergeCell ref="A254:C254"/>
    <mergeCell ref="A242:C242"/>
    <mergeCell ref="A243:C243"/>
    <mergeCell ref="A247:C247"/>
    <mergeCell ref="A248:C248"/>
    <mergeCell ref="A231:D231"/>
    <mergeCell ref="A261:C261"/>
    <mergeCell ref="A402:C402"/>
    <mergeCell ref="A249:D249"/>
    <mergeCell ref="A253:C253"/>
    <mergeCell ref="A252:D252"/>
    <mergeCell ref="A331:D331"/>
    <mergeCell ref="A159:D159"/>
    <mergeCell ref="A168:D168"/>
    <mergeCell ref="A169:D169"/>
    <mergeCell ref="A412:D412"/>
    <mergeCell ref="A307:D307"/>
    <mergeCell ref="A310:D310"/>
    <mergeCell ref="A311:C311"/>
    <mergeCell ref="A312:C312"/>
    <mergeCell ref="A222:D222"/>
    <mergeCell ref="A224:D224"/>
    <mergeCell ref="A226:C226"/>
    <mergeCell ref="A227:C227"/>
    <mergeCell ref="A298:D298"/>
    <mergeCell ref="A299:C299"/>
    <mergeCell ref="A300:C300"/>
    <mergeCell ref="A408:C408"/>
    <mergeCell ref="A409:C409"/>
    <mergeCell ref="A391:D391"/>
    <mergeCell ref="A396:C396"/>
    <mergeCell ref="A397:C397"/>
    <mergeCell ref="A399:D399"/>
    <mergeCell ref="A342:D342"/>
    <mergeCell ref="A394:D394"/>
    <mergeCell ref="A401:D401"/>
  </mergeCells>
  <pageMargins left="0.70866141732283472" right="0.11811023622047245" top="0.55118110236220474" bottom="0.55118110236220474" header="0.31496062992125984" footer="0.31496062992125984"/>
  <pageSetup paperSize="9" scale="9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EFB4-8BB0-414F-B803-DD0D8D710E1B}">
  <dimension ref="A1:Q92"/>
  <sheetViews>
    <sheetView topLeftCell="B1" workbookViewId="0">
      <selection activeCell="R23" sqref="R23"/>
    </sheetView>
  </sheetViews>
  <sheetFormatPr defaultRowHeight="15" x14ac:dyDescent="0.25"/>
  <cols>
    <col min="6" max="6" width="23.28515625" customWidth="1"/>
    <col min="7" max="7" width="0.7109375" customWidth="1"/>
    <col min="8" max="8" width="13.85546875" hidden="1" customWidth="1"/>
    <col min="9" max="9" width="20.85546875" style="267" customWidth="1"/>
    <col min="10" max="10" width="3.42578125" customWidth="1"/>
    <col min="11" max="12" width="20.85546875" customWidth="1"/>
    <col min="13" max="13" width="10.140625" style="32" bestFit="1" customWidth="1"/>
    <col min="14" max="15" width="9.140625" style="32"/>
    <col min="16" max="16" width="11.7109375" style="32" bestFit="1" customWidth="1"/>
    <col min="17" max="17" width="11.7109375" bestFit="1" customWidth="1"/>
  </cols>
  <sheetData>
    <row r="1" spans="1:17" ht="43.5" customHeight="1" x14ac:dyDescent="0.25">
      <c r="B1" s="61"/>
      <c r="C1" s="61"/>
      <c r="D1" s="61"/>
      <c r="E1" s="61"/>
      <c r="F1" s="61"/>
      <c r="G1" s="17" t="s">
        <v>412</v>
      </c>
      <c r="H1" s="221" t="s">
        <v>603</v>
      </c>
      <c r="I1" s="365" t="s">
        <v>698</v>
      </c>
      <c r="J1" s="221" t="s">
        <v>814</v>
      </c>
      <c r="K1" s="221" t="s">
        <v>699</v>
      </c>
      <c r="L1" s="221" t="s">
        <v>753</v>
      </c>
    </row>
    <row r="2" spans="1:17" x14ac:dyDescent="0.25">
      <c r="B2" s="584" t="s">
        <v>1</v>
      </c>
      <c r="C2" s="584"/>
      <c r="D2" s="584"/>
      <c r="E2" s="584"/>
      <c r="F2" s="585"/>
      <c r="G2" s="46">
        <f>G3+G11+G50+G62+G71</f>
        <v>1704671</v>
      </c>
      <c r="H2" s="46">
        <f t="shared" ref="H2:L2" si="0">H3+H11+H50+H62+H71</f>
        <v>2043686</v>
      </c>
      <c r="I2" s="108">
        <f>I3+I11+I50+I62+I71</f>
        <v>2280161.2000000002</v>
      </c>
      <c r="J2" s="46">
        <f t="shared" si="0"/>
        <v>1080322.1800000002</v>
      </c>
      <c r="K2" s="46">
        <f t="shared" si="0"/>
        <v>2451890</v>
      </c>
      <c r="L2" s="46">
        <f t="shared" si="0"/>
        <v>2537140</v>
      </c>
    </row>
    <row r="3" spans="1:17" x14ac:dyDescent="0.25">
      <c r="A3" s="267"/>
      <c r="B3" s="105">
        <v>61</v>
      </c>
      <c r="C3" s="586" t="s">
        <v>105</v>
      </c>
      <c r="D3" s="587"/>
      <c r="E3" s="587"/>
      <c r="F3" s="587"/>
      <c r="G3" s="106">
        <f t="shared" ref="G3:J3" si="1">G5+G7+G8+G9+G10</f>
        <v>277300</v>
      </c>
      <c r="H3" s="106">
        <f t="shared" si="1"/>
        <v>348700</v>
      </c>
      <c r="I3" s="366">
        <f>I5+I7+I8+I9+I10+I6</f>
        <v>462009.2</v>
      </c>
      <c r="J3" s="106">
        <f t="shared" si="1"/>
        <v>297771.89</v>
      </c>
      <c r="K3" s="106">
        <f>K5+K7+K8+K9+K10+K6</f>
        <v>520000</v>
      </c>
      <c r="L3" s="106">
        <f>L5+L7+L8+L9+L10+L6</f>
        <v>516000</v>
      </c>
    </row>
    <row r="4" spans="1:17" x14ac:dyDescent="0.25">
      <c r="A4" s="267"/>
      <c r="B4" s="105"/>
      <c r="C4" s="187"/>
      <c r="D4" s="188"/>
      <c r="E4" s="188" t="s">
        <v>775</v>
      </c>
      <c r="F4" s="188"/>
      <c r="G4" s="106"/>
      <c r="H4" s="326"/>
      <c r="I4" s="364"/>
      <c r="J4" s="326"/>
      <c r="K4" s="326"/>
      <c r="L4" s="326"/>
    </row>
    <row r="5" spans="1:17" x14ac:dyDescent="0.25">
      <c r="A5" s="267" t="s">
        <v>721</v>
      </c>
      <c r="B5" s="65">
        <v>6111</v>
      </c>
      <c r="C5" s="588" t="s">
        <v>106</v>
      </c>
      <c r="D5" s="588"/>
      <c r="E5" s="588"/>
      <c r="F5" s="468"/>
      <c r="G5" s="37">
        <f>300000+3000</f>
        <v>303000</v>
      </c>
      <c r="H5" s="32">
        <f>360000+20000</f>
        <v>380000</v>
      </c>
      <c r="I5" s="364">
        <f>400000+30000+60000+409.2</f>
        <v>490409.2</v>
      </c>
      <c r="J5" s="32">
        <f>365888.09-16240.35</f>
        <v>349647.74000000005</v>
      </c>
      <c r="K5" s="32">
        <v>550000</v>
      </c>
      <c r="L5" s="32">
        <v>550000</v>
      </c>
      <c r="M5" s="32" t="s">
        <v>588</v>
      </c>
      <c r="P5" s="32" t="s">
        <v>682</v>
      </c>
    </row>
    <row r="6" spans="1:17" x14ac:dyDescent="0.25">
      <c r="A6" s="267"/>
      <c r="B6" s="65"/>
      <c r="C6" s="238" t="s">
        <v>836</v>
      </c>
      <c r="D6" s="238"/>
      <c r="E6" s="238"/>
      <c r="F6" s="147"/>
      <c r="G6" s="37"/>
      <c r="H6" s="32"/>
      <c r="I6" s="364">
        <v>20000</v>
      </c>
      <c r="J6" s="32"/>
      <c r="K6" s="32">
        <v>18000</v>
      </c>
      <c r="L6" s="32">
        <v>14000</v>
      </c>
    </row>
    <row r="7" spans="1:17" x14ac:dyDescent="0.25">
      <c r="A7" s="267"/>
      <c r="B7" s="65"/>
      <c r="C7" s="588" t="s">
        <v>107</v>
      </c>
      <c r="D7" s="588"/>
      <c r="E7" s="588"/>
      <c r="F7" s="468"/>
      <c r="G7" s="37">
        <v>-40000</v>
      </c>
      <c r="H7" s="32">
        <v>-45000</v>
      </c>
      <c r="I7" s="364">
        <v>-69000</v>
      </c>
      <c r="J7" s="32">
        <f>-84639.8+16240.35</f>
        <v>-68399.45</v>
      </c>
      <c r="K7" s="32">
        <v>-70000</v>
      </c>
      <c r="L7" s="32">
        <v>-72000</v>
      </c>
    </row>
    <row r="8" spans="1:17" x14ac:dyDescent="0.25">
      <c r="A8" s="267"/>
      <c r="B8" s="65">
        <v>6131</v>
      </c>
      <c r="C8" s="65" t="s">
        <v>108</v>
      </c>
      <c r="D8" s="65"/>
      <c r="E8" s="65"/>
      <c r="F8" s="67"/>
      <c r="G8" s="37">
        <v>800</v>
      </c>
      <c r="H8" s="32">
        <v>700</v>
      </c>
      <c r="I8" s="364">
        <v>600</v>
      </c>
      <c r="J8" s="32">
        <v>449.6</v>
      </c>
      <c r="K8" s="32">
        <v>1000</v>
      </c>
      <c r="L8" s="32">
        <v>1000</v>
      </c>
      <c r="Q8" s="32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9" spans="1:17" x14ac:dyDescent="0.25">
      <c r="A9" s="267"/>
      <c r="B9" s="65">
        <v>6134</v>
      </c>
      <c r="C9" s="468" t="s">
        <v>109</v>
      </c>
      <c r="D9" s="469"/>
      <c r="E9" s="469"/>
      <c r="F9" s="469"/>
      <c r="G9" s="37">
        <v>10000</v>
      </c>
      <c r="H9" s="32">
        <v>9500</v>
      </c>
      <c r="I9" s="364">
        <v>15000</v>
      </c>
      <c r="J9" s="32">
        <v>12169.44</v>
      </c>
      <c r="K9" s="32">
        <v>15000</v>
      </c>
      <c r="L9" s="32">
        <v>16000</v>
      </c>
    </row>
    <row r="10" spans="1:17" x14ac:dyDescent="0.25">
      <c r="A10" s="267"/>
      <c r="B10" s="65">
        <v>6142</v>
      </c>
      <c r="C10" s="468" t="s">
        <v>589</v>
      </c>
      <c r="D10" s="469"/>
      <c r="E10" s="469"/>
      <c r="F10" s="469"/>
      <c r="G10" s="37">
        <v>3500</v>
      </c>
      <c r="H10" s="32">
        <v>3500</v>
      </c>
      <c r="I10" s="364">
        <v>5000</v>
      </c>
      <c r="J10" s="32">
        <v>3904.56</v>
      </c>
      <c r="K10" s="32">
        <v>6000</v>
      </c>
      <c r="L10" s="32">
        <v>7000</v>
      </c>
    </row>
    <row r="11" spans="1:17" x14ac:dyDescent="0.25">
      <c r="B11" s="101">
        <v>63</v>
      </c>
      <c r="C11" s="102" t="s">
        <v>110</v>
      </c>
      <c r="D11" s="101"/>
      <c r="E11" s="101"/>
      <c r="F11" s="214"/>
      <c r="G11" s="583">
        <f>G13++G16+G19+G37+G38+G41+G43+G44+G45+G47+G49+G46+G42+G36+G15+G48+G14</f>
        <v>1090366</v>
      </c>
      <c r="H11" s="583">
        <f>H13++H16+H19+H37+H38+H41+H43+H44+H45+H47+H49+H46+H42+H36+H15+H48+H14+H18+H39+H21</f>
        <v>1307755</v>
      </c>
      <c r="I11" s="604">
        <f>I13++I16+I19+I37+I38+I41+I43+I44+I45+I47+I49+I46+I42+I36+I15+I48+I14+I18+I39+I21+I28+I33+I31+I34+I35+I17+I20+I27+I24+I32+I29</f>
        <v>1415209</v>
      </c>
      <c r="J11" s="583">
        <f>J13++J16+J19+J37+J38+J41+J43+J44+J45+J47+J49+J46+J42+J36+J15+J48+J14+J18+J39+J21+J28+J33+J31+J34+J35</f>
        <v>542696.24</v>
      </c>
      <c r="K11" s="583">
        <f>K13++K16+K19+K37+K38+K41+K43+K44+K45+K47+K49+K46+K42+K36+K15+K48+K14+K18+K39+K21+K31+K33+K17+K22+K24+K29+K23+K25+K40</f>
        <v>1436640</v>
      </c>
      <c r="L11" s="583">
        <f>L13++L16+L19+L37+L38+L41+L43+L44+L45+L47+L49+L46+L42+L36+L15+L48+L14+L18+L39+L21+L17+L20+L22+L28+L24+L29+L23+L25+L26+L30+L40</f>
        <v>1517530</v>
      </c>
    </row>
    <row r="12" spans="1:17" x14ac:dyDescent="0.25">
      <c r="B12" s="103" t="s">
        <v>111</v>
      </c>
      <c r="C12" s="103"/>
      <c r="D12" s="103"/>
      <c r="E12" s="104"/>
      <c r="F12" s="104"/>
      <c r="G12" s="583"/>
      <c r="H12" s="583"/>
      <c r="I12" s="604"/>
      <c r="J12" s="583"/>
      <c r="K12" s="583"/>
      <c r="L12" s="583"/>
    </row>
    <row r="13" spans="1:17" x14ac:dyDescent="0.25">
      <c r="A13" s="327"/>
      <c r="B13" s="65">
        <v>6331</v>
      </c>
      <c r="C13" s="65" t="s">
        <v>590</v>
      </c>
      <c r="D13" s="65"/>
      <c r="E13" s="65"/>
      <c r="F13" s="67"/>
      <c r="G13" s="37">
        <f>350000+10000</f>
        <v>360000</v>
      </c>
      <c r="H13" s="32">
        <f>350000+20000</f>
        <v>370000</v>
      </c>
      <c r="I13" s="364">
        <v>375000</v>
      </c>
      <c r="J13" s="32">
        <v>306510.8</v>
      </c>
      <c r="K13" s="116">
        <v>380000</v>
      </c>
      <c r="L13" s="116">
        <v>380000</v>
      </c>
      <c r="M13">
        <v>1.3136112661238501E-3</v>
      </c>
    </row>
    <row r="14" spans="1:17" x14ac:dyDescent="0.25">
      <c r="A14" s="327"/>
      <c r="B14" s="65"/>
      <c r="C14" s="67" t="s">
        <v>591</v>
      </c>
      <c r="D14" s="70"/>
      <c r="E14" s="70"/>
      <c r="F14" s="70"/>
      <c r="G14" s="37"/>
      <c r="H14" s="32">
        <f>12000+2000</f>
        <v>14000</v>
      </c>
      <c r="I14" s="364">
        <v>1000</v>
      </c>
      <c r="J14" s="32">
        <v>2035.37</v>
      </c>
      <c r="K14" s="116">
        <v>51000</v>
      </c>
      <c r="L14" s="116">
        <v>1000</v>
      </c>
      <c r="M14" s="32" t="s">
        <v>678</v>
      </c>
    </row>
    <row r="15" spans="1:17" x14ac:dyDescent="0.25">
      <c r="A15" s="327"/>
      <c r="B15" s="65">
        <v>6331</v>
      </c>
      <c r="C15" s="468" t="s">
        <v>442</v>
      </c>
      <c r="D15" s="469"/>
      <c r="E15" s="469"/>
      <c r="F15" s="469"/>
      <c r="G15" s="37">
        <v>22000</v>
      </c>
      <c r="H15" s="32">
        <f>4000+10000</f>
        <v>14000</v>
      </c>
      <c r="I15" s="364"/>
      <c r="J15" s="32">
        <v>12095.88</v>
      </c>
      <c r="K15" s="384"/>
      <c r="L15" s="384"/>
      <c r="M15" s="32" t="s">
        <v>693</v>
      </c>
    </row>
    <row r="16" spans="1:17" x14ac:dyDescent="0.25">
      <c r="A16" s="327"/>
      <c r="B16" s="65">
        <v>6331</v>
      </c>
      <c r="C16" s="65" t="s">
        <v>592</v>
      </c>
      <c r="D16" s="65"/>
      <c r="E16" s="67"/>
      <c r="F16" s="70" t="s">
        <v>112</v>
      </c>
      <c r="G16" s="37">
        <v>486</v>
      </c>
      <c r="H16" s="32">
        <v>119</v>
      </c>
      <c r="I16" s="364">
        <v>400</v>
      </c>
      <c r="J16" s="32"/>
      <c r="K16" s="116">
        <v>150</v>
      </c>
      <c r="L16" s="116">
        <v>500</v>
      </c>
    </row>
    <row r="17" spans="1:13" x14ac:dyDescent="0.25">
      <c r="A17" s="327"/>
      <c r="B17" s="65">
        <v>633</v>
      </c>
      <c r="C17" s="65" t="s">
        <v>819</v>
      </c>
      <c r="D17" s="65"/>
      <c r="E17" s="67"/>
      <c r="F17" s="70"/>
      <c r="G17" s="37"/>
      <c r="H17" s="32"/>
      <c r="I17" s="364">
        <v>1800</v>
      </c>
      <c r="J17" s="32"/>
      <c r="K17" s="116">
        <v>1800</v>
      </c>
      <c r="L17" s="116">
        <v>1800</v>
      </c>
    </row>
    <row r="18" spans="1:13" x14ac:dyDescent="0.25">
      <c r="A18" s="327"/>
      <c r="B18" s="65">
        <v>63</v>
      </c>
      <c r="C18" s="65" t="s">
        <v>801</v>
      </c>
      <c r="D18" s="65"/>
      <c r="E18" s="67"/>
      <c r="F18" s="70"/>
      <c r="G18" s="37"/>
      <c r="H18" s="32">
        <v>1800</v>
      </c>
      <c r="I18" s="364">
        <v>22750</v>
      </c>
      <c r="J18" s="32"/>
      <c r="K18" s="384"/>
      <c r="L18" s="384"/>
    </row>
    <row r="19" spans="1:13" x14ac:dyDescent="0.25">
      <c r="A19" s="327"/>
      <c r="B19" s="65">
        <v>6332</v>
      </c>
      <c r="C19" s="591" t="s">
        <v>679</v>
      </c>
      <c r="D19" s="591"/>
      <c r="E19" s="591"/>
      <c r="F19" s="592"/>
      <c r="G19" s="37">
        <f>20000+5000</f>
        <v>25000</v>
      </c>
      <c r="H19" s="32">
        <v>50000</v>
      </c>
      <c r="I19" s="364"/>
      <c r="J19" s="32"/>
      <c r="K19" s="384"/>
      <c r="L19" s="384"/>
    </row>
    <row r="20" spans="1:13" x14ac:dyDescent="0.25">
      <c r="A20" s="327"/>
      <c r="B20" s="65"/>
      <c r="C20" s="149" t="s">
        <v>821</v>
      </c>
      <c r="D20" s="150"/>
      <c r="E20" s="150"/>
      <c r="F20" s="150"/>
      <c r="G20" s="37"/>
      <c r="H20" s="32"/>
      <c r="I20" s="364">
        <v>76500</v>
      </c>
      <c r="J20" s="32"/>
      <c r="K20" s="384"/>
      <c r="L20" s="116">
        <v>10000</v>
      </c>
    </row>
    <row r="21" spans="1:13" x14ac:dyDescent="0.25">
      <c r="A21" s="327" t="s">
        <v>722</v>
      </c>
      <c r="B21" s="65"/>
      <c r="C21" s="149" t="s">
        <v>688</v>
      </c>
      <c r="D21" s="150"/>
      <c r="E21" s="150"/>
      <c r="F21" s="150"/>
      <c r="G21" s="37"/>
      <c r="H21" s="32">
        <v>30000</v>
      </c>
      <c r="I21" s="364"/>
      <c r="J21" s="32"/>
      <c r="K21" s="384"/>
      <c r="L21" s="116">
        <v>30000</v>
      </c>
    </row>
    <row r="22" spans="1:13" x14ac:dyDescent="0.25">
      <c r="A22" s="327"/>
      <c r="B22" s="65"/>
      <c r="C22" s="149" t="s">
        <v>882</v>
      </c>
      <c r="D22" s="150"/>
      <c r="E22" s="150"/>
      <c r="F22" s="150"/>
      <c r="G22" s="37"/>
      <c r="H22" s="32"/>
      <c r="I22" s="364"/>
      <c r="J22" s="32"/>
      <c r="K22" s="116">
        <v>70000</v>
      </c>
      <c r="L22" s="116">
        <v>13000</v>
      </c>
    </row>
    <row r="23" spans="1:13" x14ac:dyDescent="0.25">
      <c r="A23" s="327"/>
      <c r="B23" s="65"/>
      <c r="C23" s="149" t="s">
        <v>885</v>
      </c>
      <c r="D23" s="150"/>
      <c r="E23" s="150"/>
      <c r="F23" s="150"/>
      <c r="G23" s="37"/>
      <c r="H23" s="32"/>
      <c r="I23" s="364"/>
      <c r="J23" s="32"/>
      <c r="K23" s="116">
        <v>70000</v>
      </c>
      <c r="L23" s="116">
        <v>50000</v>
      </c>
    </row>
    <row r="24" spans="1:13" x14ac:dyDescent="0.25">
      <c r="A24" s="327"/>
      <c r="B24" s="65"/>
      <c r="C24" s="592" t="s">
        <v>840</v>
      </c>
      <c r="D24" s="593"/>
      <c r="E24" s="593"/>
      <c r="F24" s="594"/>
      <c r="G24" s="37"/>
      <c r="H24" s="32"/>
      <c r="I24" s="364">
        <v>75000</v>
      </c>
      <c r="J24" s="32"/>
      <c r="K24" s="116">
        <v>50000</v>
      </c>
      <c r="L24" s="116">
        <v>50000</v>
      </c>
    </row>
    <row r="25" spans="1:13" x14ac:dyDescent="0.25">
      <c r="A25" s="327"/>
      <c r="B25" s="65"/>
      <c r="C25" s="149" t="s">
        <v>884</v>
      </c>
      <c r="D25" s="150"/>
      <c r="E25" s="150"/>
      <c r="F25" s="150"/>
      <c r="G25" s="37"/>
      <c r="H25" s="32"/>
      <c r="I25" s="364"/>
      <c r="J25" s="32"/>
      <c r="K25" s="116">
        <v>120000</v>
      </c>
      <c r="L25" s="116">
        <v>200000</v>
      </c>
    </row>
    <row r="26" spans="1:13" x14ac:dyDescent="0.25">
      <c r="A26" s="327"/>
      <c r="B26" s="65"/>
      <c r="C26" s="149" t="s">
        <v>886</v>
      </c>
      <c r="D26" s="150"/>
      <c r="E26" s="150"/>
      <c r="F26" s="150"/>
      <c r="G26" s="37"/>
      <c r="H26" s="32"/>
      <c r="I26" s="364"/>
      <c r="J26" s="32"/>
      <c r="K26" s="116"/>
      <c r="L26" s="116">
        <v>35000</v>
      </c>
    </row>
    <row r="27" spans="1:13" x14ac:dyDescent="0.25">
      <c r="A27" s="327"/>
      <c r="B27" s="65"/>
      <c r="C27" s="149" t="s">
        <v>831</v>
      </c>
      <c r="D27" s="150"/>
      <c r="E27" s="150"/>
      <c r="F27" s="150"/>
      <c r="G27" s="37"/>
      <c r="H27" s="32"/>
      <c r="I27" s="364">
        <v>100000</v>
      </c>
      <c r="J27" s="32"/>
      <c r="K27" s="384"/>
      <c r="L27" s="384"/>
    </row>
    <row r="28" spans="1:13" x14ac:dyDescent="0.25">
      <c r="A28" s="327"/>
      <c r="B28" s="65"/>
      <c r="C28" s="149" t="s">
        <v>754</v>
      </c>
      <c r="D28" s="150"/>
      <c r="E28" s="150"/>
      <c r="F28" s="150"/>
      <c r="G28" s="37"/>
      <c r="H28" s="32"/>
      <c r="I28" s="364">
        <v>47600</v>
      </c>
      <c r="J28" s="32"/>
      <c r="K28" s="384"/>
      <c r="L28" s="116">
        <v>50000</v>
      </c>
    </row>
    <row r="29" spans="1:13" x14ac:dyDescent="0.25">
      <c r="A29" s="327"/>
      <c r="B29" s="65"/>
      <c r="C29" s="149" t="s">
        <v>835</v>
      </c>
      <c r="D29" s="150"/>
      <c r="E29" s="150"/>
      <c r="F29" s="150"/>
      <c r="G29" s="37"/>
      <c r="H29" s="32"/>
      <c r="I29" s="364">
        <v>30000</v>
      </c>
      <c r="J29" s="32"/>
      <c r="K29" s="116">
        <v>30000</v>
      </c>
      <c r="L29" s="116">
        <v>30000</v>
      </c>
    </row>
    <row r="30" spans="1:13" x14ac:dyDescent="0.25">
      <c r="A30" s="327"/>
      <c r="B30" s="65"/>
      <c r="C30" s="149" t="s">
        <v>887</v>
      </c>
      <c r="D30" s="150"/>
      <c r="E30" s="150"/>
      <c r="F30" s="150"/>
      <c r="G30" s="37"/>
      <c r="H30" s="32"/>
      <c r="I30" s="364"/>
      <c r="J30" s="32"/>
      <c r="K30" s="116"/>
      <c r="L30" s="116">
        <v>77000</v>
      </c>
    </row>
    <row r="31" spans="1:13" x14ac:dyDescent="0.25">
      <c r="A31" s="327"/>
      <c r="B31" s="65"/>
      <c r="C31" s="149" t="s">
        <v>758</v>
      </c>
      <c r="D31" s="150"/>
      <c r="E31" s="150"/>
      <c r="F31" s="150"/>
      <c r="G31" s="37"/>
      <c r="H31" s="32"/>
      <c r="I31" s="364">
        <v>24000</v>
      </c>
      <c r="J31" s="32"/>
      <c r="K31" s="116">
        <v>16000</v>
      </c>
      <c r="L31" s="384"/>
      <c r="M31" s="32" t="s">
        <v>812</v>
      </c>
    </row>
    <row r="32" spans="1:13" x14ac:dyDescent="0.25">
      <c r="A32" s="327"/>
      <c r="B32" s="65"/>
      <c r="C32" s="149" t="s">
        <v>841</v>
      </c>
      <c r="D32" s="150"/>
      <c r="E32" s="150"/>
      <c r="F32" s="150"/>
      <c r="G32" s="37"/>
      <c r="H32" s="32"/>
      <c r="I32" s="364">
        <v>60000</v>
      </c>
      <c r="J32" s="32"/>
      <c r="K32" s="384"/>
      <c r="L32" s="384"/>
    </row>
    <row r="33" spans="1:13" x14ac:dyDescent="0.25">
      <c r="A33" s="327"/>
      <c r="B33" s="65"/>
      <c r="C33" s="149" t="s">
        <v>756</v>
      </c>
      <c r="D33" s="150"/>
      <c r="E33" s="150"/>
      <c r="F33" s="150"/>
      <c r="G33" s="37"/>
      <c r="H33" s="32"/>
      <c r="I33" s="364">
        <v>212500</v>
      </c>
      <c r="J33" s="32"/>
      <c r="K33" s="116">
        <v>170000</v>
      </c>
      <c r="L33" s="384"/>
      <c r="M33" s="32" t="s">
        <v>757</v>
      </c>
    </row>
    <row r="34" spans="1:13" x14ac:dyDescent="0.25">
      <c r="A34" s="327"/>
      <c r="B34" s="65"/>
      <c r="C34" s="149" t="s">
        <v>811</v>
      </c>
      <c r="D34" s="150"/>
      <c r="E34" s="150"/>
      <c r="F34" s="150"/>
      <c r="G34" s="37"/>
      <c r="H34" s="32"/>
      <c r="I34" s="364"/>
      <c r="J34" s="32"/>
      <c r="K34" s="384"/>
      <c r="L34" s="384"/>
    </row>
    <row r="35" spans="1:13" x14ac:dyDescent="0.25">
      <c r="A35" s="327"/>
      <c r="B35" s="65"/>
      <c r="C35" s="149" t="s">
        <v>813</v>
      </c>
      <c r="D35" s="150"/>
      <c r="E35" s="150"/>
      <c r="F35" s="150"/>
      <c r="G35" s="37"/>
      <c r="H35" s="32"/>
      <c r="I35" s="364"/>
      <c r="J35" s="32"/>
      <c r="K35" s="384"/>
      <c r="L35" s="384"/>
    </row>
    <row r="36" spans="1:13" x14ac:dyDescent="0.25">
      <c r="A36" s="327"/>
      <c r="B36" s="65">
        <v>6332</v>
      </c>
      <c r="C36" s="592" t="s">
        <v>560</v>
      </c>
      <c r="D36" s="593"/>
      <c r="E36" s="593"/>
      <c r="F36" s="593"/>
      <c r="G36" s="37">
        <f>75000+5000</f>
        <v>80000</v>
      </c>
      <c r="H36" s="32">
        <f>90000+10000</f>
        <v>100000</v>
      </c>
      <c r="I36" s="364">
        <v>85000</v>
      </c>
      <c r="J36" s="32">
        <v>64107</v>
      </c>
      <c r="K36" s="116">
        <v>85000</v>
      </c>
      <c r="L36" s="116">
        <v>85000</v>
      </c>
      <c r="M36" s="32" t="s">
        <v>593</v>
      </c>
    </row>
    <row r="37" spans="1:13" x14ac:dyDescent="0.25">
      <c r="A37" s="327"/>
      <c r="B37" s="65">
        <v>6332</v>
      </c>
      <c r="C37" s="468" t="s">
        <v>834</v>
      </c>
      <c r="D37" s="469"/>
      <c r="E37" s="469"/>
      <c r="F37" s="469"/>
      <c r="G37" s="37">
        <v>100000</v>
      </c>
      <c r="H37" s="32">
        <v>100000</v>
      </c>
      <c r="I37" s="364">
        <v>100000</v>
      </c>
      <c r="J37" s="32"/>
      <c r="K37" s="116">
        <v>170000</v>
      </c>
      <c r="L37" s="116">
        <v>70000</v>
      </c>
      <c r="M37" s="32" t="s">
        <v>673</v>
      </c>
    </row>
    <row r="38" spans="1:13" x14ac:dyDescent="0.25">
      <c r="A38" s="327"/>
      <c r="B38" s="65">
        <v>6332</v>
      </c>
      <c r="C38" s="69" t="s">
        <v>594</v>
      </c>
      <c r="D38" s="69"/>
      <c r="E38" s="69"/>
      <c r="F38" s="215"/>
      <c r="G38" s="37">
        <v>35000</v>
      </c>
      <c r="H38" s="32">
        <v>35000</v>
      </c>
      <c r="I38" s="364">
        <f>40000+10000</f>
        <v>50000</v>
      </c>
      <c r="J38" s="32">
        <f>1312.5+781.25+14340.19</f>
        <v>16433.940000000002</v>
      </c>
      <c r="K38" s="116">
        <v>9000</v>
      </c>
      <c r="L38" s="116">
        <v>9000</v>
      </c>
      <c r="M38" s="32" t="s">
        <v>755</v>
      </c>
    </row>
    <row r="39" spans="1:13" x14ac:dyDescent="0.25">
      <c r="A39" s="327"/>
      <c r="B39" s="65"/>
      <c r="C39" s="69" t="s">
        <v>595</v>
      </c>
      <c r="D39" s="69"/>
      <c r="E39" s="69"/>
      <c r="F39" s="215"/>
      <c r="G39" s="37"/>
      <c r="H39" s="32">
        <v>50000</v>
      </c>
      <c r="I39" s="364"/>
      <c r="J39" s="32"/>
      <c r="K39" s="116">
        <v>70000</v>
      </c>
      <c r="L39" s="116">
        <v>50000</v>
      </c>
    </row>
    <row r="40" spans="1:13" x14ac:dyDescent="0.25">
      <c r="A40" s="327"/>
      <c r="B40" s="65"/>
      <c r="C40" s="69" t="s">
        <v>888</v>
      </c>
      <c r="D40" s="69"/>
      <c r="E40" s="69"/>
      <c r="F40" s="215"/>
      <c r="G40" s="37"/>
      <c r="H40" s="32"/>
      <c r="I40" s="364"/>
      <c r="J40" s="32"/>
      <c r="K40" s="116">
        <v>50000</v>
      </c>
      <c r="L40" s="116">
        <v>26290</v>
      </c>
    </row>
    <row r="41" spans="1:13" x14ac:dyDescent="0.25">
      <c r="A41" s="327"/>
      <c r="B41" s="65">
        <v>6332</v>
      </c>
      <c r="C41" s="591" t="s">
        <v>681</v>
      </c>
      <c r="D41" s="591"/>
      <c r="E41" s="591"/>
      <c r="F41" s="592"/>
      <c r="G41" s="37">
        <f>30000+5000</f>
        <v>35000</v>
      </c>
      <c r="H41" s="32">
        <v>20000</v>
      </c>
      <c r="I41" s="364"/>
      <c r="J41" s="32"/>
      <c r="K41" s="384"/>
      <c r="L41" s="384"/>
    </row>
    <row r="42" spans="1:13" x14ac:dyDescent="0.25">
      <c r="A42" s="327"/>
      <c r="B42" s="65">
        <v>6332</v>
      </c>
      <c r="C42" s="592" t="s">
        <v>680</v>
      </c>
      <c r="D42" s="593"/>
      <c r="E42" s="593"/>
      <c r="F42" s="593"/>
      <c r="G42" s="42">
        <f>40000+10000</f>
        <v>50000</v>
      </c>
      <c r="H42" s="32">
        <v>70000</v>
      </c>
      <c r="I42" s="364"/>
      <c r="J42" s="32">
        <v>46400</v>
      </c>
      <c r="K42" s="384"/>
      <c r="L42" s="384"/>
    </row>
    <row r="43" spans="1:13" x14ac:dyDescent="0.25">
      <c r="A43" s="327"/>
      <c r="B43" s="65">
        <v>6332</v>
      </c>
      <c r="C43" s="591" t="s">
        <v>596</v>
      </c>
      <c r="D43" s="591"/>
      <c r="E43" s="591"/>
      <c r="F43" s="592"/>
      <c r="G43" s="37">
        <v>30000</v>
      </c>
      <c r="H43" s="32">
        <v>0</v>
      </c>
      <c r="I43" s="364"/>
      <c r="J43" s="32">
        <v>21918.06</v>
      </c>
      <c r="K43" s="384"/>
      <c r="L43" s="384"/>
    </row>
    <row r="44" spans="1:13" x14ac:dyDescent="0.25">
      <c r="A44" s="327"/>
      <c r="B44" s="65">
        <v>6341</v>
      </c>
      <c r="C44" s="468" t="s">
        <v>113</v>
      </c>
      <c r="D44" s="469"/>
      <c r="E44" s="469"/>
      <c r="F44" s="469"/>
      <c r="G44" s="37">
        <f>10080+240</f>
        <v>10320</v>
      </c>
      <c r="H44" s="32">
        <v>6901</v>
      </c>
      <c r="I44" s="364">
        <v>14919</v>
      </c>
      <c r="J44" s="32">
        <v>6900.3</v>
      </c>
      <c r="K44" s="116">
        <v>14940</v>
      </c>
      <c r="L44" s="116">
        <v>14940</v>
      </c>
      <c r="M44" s="32" t="s">
        <v>774</v>
      </c>
    </row>
    <row r="45" spans="1:13" x14ac:dyDescent="0.25">
      <c r="A45" s="327"/>
      <c r="B45" s="65">
        <v>6351</v>
      </c>
      <c r="C45" s="65" t="s">
        <v>114</v>
      </c>
      <c r="D45" s="65"/>
      <c r="E45" s="67"/>
      <c r="F45" s="70"/>
      <c r="G45" s="37">
        <v>14000</v>
      </c>
      <c r="H45" s="32">
        <v>14000</v>
      </c>
      <c r="I45" s="364">
        <v>14000</v>
      </c>
      <c r="J45" s="32"/>
      <c r="K45" s="116">
        <v>14000</v>
      </c>
      <c r="L45" s="116">
        <v>14000</v>
      </c>
    </row>
    <row r="46" spans="1:13" x14ac:dyDescent="0.25">
      <c r="A46" s="332"/>
      <c r="B46" s="65">
        <v>6381</v>
      </c>
      <c r="C46" s="149" t="s">
        <v>597</v>
      </c>
      <c r="D46" s="150"/>
      <c r="E46" s="150"/>
      <c r="F46" s="150"/>
      <c r="G46" s="37">
        <v>86560</v>
      </c>
      <c r="H46" s="32">
        <v>106185</v>
      </c>
      <c r="I46" s="364">
        <v>114740</v>
      </c>
      <c r="J46" s="32">
        <v>66294.89</v>
      </c>
      <c r="K46" s="116">
        <v>26750</v>
      </c>
      <c r="L46" s="384"/>
      <c r="M46" s="32" t="s">
        <v>598</v>
      </c>
    </row>
    <row r="47" spans="1:13" x14ac:dyDescent="0.25">
      <c r="A47" s="332"/>
      <c r="B47" s="65">
        <v>6332</v>
      </c>
      <c r="C47" s="592" t="s">
        <v>599</v>
      </c>
      <c r="D47" s="593"/>
      <c r="E47" s="593"/>
      <c r="F47" s="593"/>
      <c r="G47" s="37">
        <v>12000</v>
      </c>
      <c r="H47" s="32">
        <v>10000</v>
      </c>
      <c r="I47" s="364">
        <v>10000</v>
      </c>
      <c r="J47" s="32"/>
      <c r="K47" s="384"/>
      <c r="L47" s="384"/>
    </row>
    <row r="48" spans="1:13" x14ac:dyDescent="0.25">
      <c r="A48" s="332" t="s">
        <v>707</v>
      </c>
      <c r="B48" s="65">
        <v>638</v>
      </c>
      <c r="C48" s="149" t="s">
        <v>883</v>
      </c>
      <c r="D48" s="150"/>
      <c r="E48" s="150"/>
      <c r="F48" s="150"/>
      <c r="G48" s="37"/>
      <c r="H48" s="32"/>
      <c r="I48" s="364"/>
      <c r="J48" s="32"/>
      <c r="K48" s="116">
        <v>38000</v>
      </c>
      <c r="L48" s="384"/>
    </row>
    <row r="49" spans="1:13" x14ac:dyDescent="0.25">
      <c r="A49" s="332"/>
      <c r="B49" s="65">
        <v>6332</v>
      </c>
      <c r="C49" s="588" t="s">
        <v>441</v>
      </c>
      <c r="D49" s="588"/>
      <c r="E49" s="588"/>
      <c r="F49" s="468"/>
      <c r="G49" s="37">
        <v>230000</v>
      </c>
      <c r="H49" s="32">
        <v>315750</v>
      </c>
      <c r="I49" s="364"/>
      <c r="J49" s="32"/>
      <c r="K49" s="384"/>
      <c r="L49" s="116">
        <v>320000</v>
      </c>
      <c r="M49" s="32" t="s">
        <v>669</v>
      </c>
    </row>
    <row r="50" spans="1:13" x14ac:dyDescent="0.25">
      <c r="B50" s="105">
        <v>64</v>
      </c>
      <c r="C50" s="105" t="s">
        <v>115</v>
      </c>
      <c r="D50" s="105"/>
      <c r="E50" s="107"/>
      <c r="F50" s="216"/>
      <c r="G50" s="110">
        <f t="shared" ref="G50:L50" si="2">G52+G53+G54+G55+G56+G58+G60+G61+G59+G57+G51</f>
        <v>215540</v>
      </c>
      <c r="H50" s="110">
        <f t="shared" si="2"/>
        <v>198273</v>
      </c>
      <c r="I50" s="108">
        <f t="shared" si="2"/>
        <v>193193</v>
      </c>
      <c r="J50" s="110">
        <f t="shared" si="2"/>
        <v>114265.62000000001</v>
      </c>
      <c r="K50" s="110">
        <f t="shared" si="2"/>
        <v>254950</v>
      </c>
      <c r="L50" s="110">
        <f t="shared" si="2"/>
        <v>220310</v>
      </c>
    </row>
    <row r="51" spans="1:13" x14ac:dyDescent="0.25">
      <c r="A51" s="328" t="s">
        <v>708</v>
      </c>
      <c r="B51" s="65">
        <v>6141</v>
      </c>
      <c r="C51" s="65" t="s">
        <v>718</v>
      </c>
      <c r="D51" s="65"/>
      <c r="E51" s="67"/>
      <c r="F51" s="70"/>
      <c r="G51" s="37">
        <v>100</v>
      </c>
      <c r="H51" s="32">
        <v>50</v>
      </c>
      <c r="I51" s="364"/>
      <c r="J51" s="32"/>
      <c r="K51" s="32">
        <v>50</v>
      </c>
      <c r="L51" s="32">
        <v>50</v>
      </c>
    </row>
    <row r="52" spans="1:13" x14ac:dyDescent="0.25">
      <c r="A52" s="329"/>
      <c r="B52" s="65">
        <v>6421</v>
      </c>
      <c r="C52" s="65" t="s">
        <v>116</v>
      </c>
      <c r="D52" s="65"/>
      <c r="E52" s="65"/>
      <c r="F52" s="67"/>
      <c r="G52" s="37">
        <v>800</v>
      </c>
      <c r="H52" s="32">
        <v>800</v>
      </c>
      <c r="I52" s="364">
        <v>800</v>
      </c>
      <c r="J52" s="32"/>
      <c r="K52" s="32">
        <v>800</v>
      </c>
      <c r="L52" s="32">
        <v>800</v>
      </c>
    </row>
    <row r="53" spans="1:13" x14ac:dyDescent="0.25">
      <c r="A53" s="330" t="s">
        <v>710</v>
      </c>
      <c r="B53" s="65">
        <v>6421</v>
      </c>
      <c r="C53" s="65" t="s">
        <v>117</v>
      </c>
      <c r="D53" s="65"/>
      <c r="E53" s="67"/>
      <c r="F53" s="70"/>
      <c r="G53" s="37">
        <v>2000</v>
      </c>
      <c r="H53" s="32">
        <v>2000</v>
      </c>
      <c r="I53" s="364">
        <v>2000</v>
      </c>
      <c r="J53" s="32"/>
      <c r="K53" s="32">
        <v>2000</v>
      </c>
      <c r="L53" s="32">
        <v>2000</v>
      </c>
    </row>
    <row r="54" spans="1:13" x14ac:dyDescent="0.25">
      <c r="B54" s="65">
        <v>6422</v>
      </c>
      <c r="C54" s="65" t="s">
        <v>118</v>
      </c>
      <c r="D54" s="65"/>
      <c r="E54" s="65"/>
      <c r="F54" s="67"/>
      <c r="G54" s="37">
        <f>22000+3000</f>
        <v>25000</v>
      </c>
      <c r="H54" s="32">
        <f>20000+5000</f>
        <v>25000</v>
      </c>
      <c r="I54" s="364">
        <v>20000</v>
      </c>
      <c r="J54" s="32">
        <v>11592.32</v>
      </c>
      <c r="K54" s="32">
        <v>35000</v>
      </c>
      <c r="L54" s="32">
        <v>35000</v>
      </c>
    </row>
    <row r="55" spans="1:13" x14ac:dyDescent="0.25">
      <c r="A55" s="333"/>
      <c r="B55" s="65">
        <v>6422</v>
      </c>
      <c r="C55" s="468" t="s">
        <v>481</v>
      </c>
      <c r="D55" s="469"/>
      <c r="E55" s="469"/>
      <c r="F55" s="469"/>
      <c r="G55" s="37">
        <v>130</v>
      </c>
      <c r="H55" s="32">
        <v>83</v>
      </c>
      <c r="I55" s="364">
        <v>73</v>
      </c>
      <c r="J55" s="32">
        <v>73.400000000000006</v>
      </c>
      <c r="K55" s="32">
        <v>100</v>
      </c>
      <c r="L55" s="32">
        <v>100</v>
      </c>
      <c r="M55" s="32" t="s">
        <v>604</v>
      </c>
    </row>
    <row r="56" spans="1:13" x14ac:dyDescent="0.25">
      <c r="A56" s="333" t="s">
        <v>711</v>
      </c>
      <c r="B56" s="65">
        <v>6422</v>
      </c>
      <c r="C56" s="65" t="s">
        <v>119</v>
      </c>
      <c r="D56" s="65"/>
      <c r="E56" s="65"/>
      <c r="F56" s="67"/>
      <c r="G56" s="37">
        <v>50</v>
      </c>
      <c r="H56" s="32">
        <v>30</v>
      </c>
      <c r="I56" s="364"/>
      <c r="J56" s="32"/>
      <c r="K56" s="32">
        <v>100</v>
      </c>
      <c r="L56" s="32">
        <v>100</v>
      </c>
    </row>
    <row r="57" spans="1:13" x14ac:dyDescent="0.25">
      <c r="A57" s="331" t="s">
        <v>709</v>
      </c>
      <c r="B57" s="65">
        <v>6423</v>
      </c>
      <c r="C57" s="65" t="s">
        <v>719</v>
      </c>
      <c r="D57" s="65"/>
      <c r="E57" s="67"/>
      <c r="F57" s="70"/>
      <c r="G57" s="37">
        <v>250</v>
      </c>
      <c r="H57" s="32">
        <v>100</v>
      </c>
      <c r="I57" s="364">
        <v>200</v>
      </c>
      <c r="J57" s="32">
        <v>156.9</v>
      </c>
      <c r="K57" s="32">
        <v>1000</v>
      </c>
      <c r="L57" s="32">
        <v>2000</v>
      </c>
    </row>
    <row r="58" spans="1:13" x14ac:dyDescent="0.25">
      <c r="B58" s="65">
        <v>6423</v>
      </c>
      <c r="C58" s="65" t="s">
        <v>120</v>
      </c>
      <c r="D58" s="65"/>
      <c r="E58" s="67"/>
      <c r="F58" s="70"/>
      <c r="G58" s="37">
        <v>60</v>
      </c>
      <c r="H58" s="32">
        <v>60</v>
      </c>
      <c r="I58" s="364">
        <v>60</v>
      </c>
      <c r="J58" s="32"/>
      <c r="K58" s="32">
        <v>100</v>
      </c>
      <c r="L58" s="32">
        <v>100</v>
      </c>
    </row>
    <row r="59" spans="1:13" x14ac:dyDescent="0.25">
      <c r="B59" s="65">
        <v>6423</v>
      </c>
      <c r="C59" s="147" t="s">
        <v>562</v>
      </c>
      <c r="D59" s="148"/>
      <c r="E59" s="148"/>
      <c r="F59" s="148"/>
      <c r="G59" s="37">
        <v>100</v>
      </c>
      <c r="H59" s="32">
        <v>100</v>
      </c>
      <c r="I59" s="364"/>
      <c r="J59" s="32">
        <v>19.82</v>
      </c>
      <c r="K59" s="32">
        <v>100</v>
      </c>
      <c r="L59" s="32">
        <v>100</v>
      </c>
    </row>
    <row r="60" spans="1:13" x14ac:dyDescent="0.25">
      <c r="B60" s="65">
        <v>6423</v>
      </c>
      <c r="C60" s="65" t="s">
        <v>121</v>
      </c>
      <c r="D60" s="65"/>
      <c r="E60" s="65"/>
      <c r="F60" s="67"/>
      <c r="G60" s="37">
        <f>170000+10000+2000</f>
        <v>182000</v>
      </c>
      <c r="H60" s="32">
        <f>150000+10000+5000</f>
        <v>165000</v>
      </c>
      <c r="I60" s="364">
        <f>150000+15000</f>
        <v>165000</v>
      </c>
      <c r="J60" s="32">
        <v>97366.44</v>
      </c>
      <c r="K60" s="32">
        <f>190000+20640</f>
        <v>210640</v>
      </c>
      <c r="L60" s="32">
        <v>175000</v>
      </c>
    </row>
    <row r="61" spans="1:13" x14ac:dyDescent="0.25">
      <c r="A61" s="331" t="s">
        <v>709</v>
      </c>
      <c r="B61" s="65">
        <v>6423</v>
      </c>
      <c r="C61" s="65" t="s">
        <v>720</v>
      </c>
      <c r="D61" s="65"/>
      <c r="E61" s="65"/>
      <c r="F61" s="67"/>
      <c r="G61" s="37">
        <v>5050</v>
      </c>
      <c r="H61" s="32">
        <v>5050</v>
      </c>
      <c r="I61" s="364">
        <v>5060</v>
      </c>
      <c r="J61" s="32">
        <v>5056.74</v>
      </c>
      <c r="K61" s="32">
        <v>5060</v>
      </c>
      <c r="L61" s="32">
        <v>5060</v>
      </c>
    </row>
    <row r="62" spans="1:13" x14ac:dyDescent="0.25">
      <c r="B62" s="101">
        <v>65</v>
      </c>
      <c r="C62" s="598" t="s">
        <v>600</v>
      </c>
      <c r="D62" s="599"/>
      <c r="E62" s="599"/>
      <c r="F62" s="600"/>
      <c r="G62" s="217">
        <f>G64+G66+G67+G68+G69+G70</f>
        <v>121465</v>
      </c>
      <c r="H62" s="110">
        <f>H64+H66+H67+H68+H69+H70+H65</f>
        <v>188008</v>
      </c>
      <c r="I62" s="108">
        <f>I64+I66+I67+I68+I69+I70+I65</f>
        <v>208850</v>
      </c>
      <c r="J62" s="110">
        <f>J64+J66+J67+J68+J69+J70+J65</f>
        <v>125206.87</v>
      </c>
      <c r="K62" s="110">
        <f>K64+K66+K67+K68+K69+K70+K65</f>
        <v>239300</v>
      </c>
      <c r="L62" s="110">
        <f>L64+L66+L67+L68+L69+L70+L65</f>
        <v>282300</v>
      </c>
    </row>
    <row r="63" spans="1:13" x14ac:dyDescent="0.25">
      <c r="B63" s="218"/>
      <c r="C63" s="601" t="s">
        <v>601</v>
      </c>
      <c r="D63" s="602"/>
      <c r="E63" s="602"/>
      <c r="F63" s="603"/>
      <c r="G63" s="219"/>
      <c r="H63" s="222"/>
      <c r="I63" s="367"/>
      <c r="J63" s="222"/>
      <c r="K63" s="222"/>
      <c r="L63" s="222"/>
    </row>
    <row r="64" spans="1:13" x14ac:dyDescent="0.25">
      <c r="B64" s="65">
        <v>6512</v>
      </c>
      <c r="C64" s="65" t="s">
        <v>122</v>
      </c>
      <c r="D64" s="65"/>
      <c r="E64" s="67"/>
      <c r="F64" s="70"/>
      <c r="G64" s="37">
        <v>12000</v>
      </c>
      <c r="H64" s="32">
        <v>12000</v>
      </c>
      <c r="I64" s="364">
        <v>12000</v>
      </c>
      <c r="J64" s="32">
        <v>10453.33</v>
      </c>
      <c r="K64" s="32">
        <v>12000</v>
      </c>
      <c r="L64" s="32">
        <v>12000</v>
      </c>
    </row>
    <row r="65" spans="2:14" x14ac:dyDescent="0.25">
      <c r="B65" s="65">
        <v>6514</v>
      </c>
      <c r="C65" s="65" t="s">
        <v>602</v>
      </c>
      <c r="D65" s="67"/>
      <c r="E65" s="70"/>
      <c r="F65" s="70"/>
      <c r="G65" s="37"/>
      <c r="H65" s="32">
        <v>300</v>
      </c>
      <c r="I65" s="364">
        <v>300</v>
      </c>
      <c r="J65" s="32">
        <f>66.36+107.79</f>
        <v>174.15</v>
      </c>
      <c r="K65" s="32">
        <v>300</v>
      </c>
      <c r="L65" s="32">
        <v>300</v>
      </c>
    </row>
    <row r="66" spans="2:14" x14ac:dyDescent="0.25">
      <c r="B66" s="65">
        <v>6522</v>
      </c>
      <c r="C66" s="65" t="s">
        <v>123</v>
      </c>
      <c r="D66" s="67"/>
      <c r="E66" s="70"/>
      <c r="F66" s="70"/>
      <c r="G66" s="37">
        <v>50</v>
      </c>
      <c r="H66" s="32">
        <v>200</v>
      </c>
      <c r="I66" s="364">
        <v>0</v>
      </c>
      <c r="J66" s="32">
        <v>0</v>
      </c>
      <c r="K66" s="32"/>
      <c r="L66" s="32"/>
      <c r="N66" s="32" t="s">
        <v>818</v>
      </c>
    </row>
    <row r="67" spans="2:14" x14ac:dyDescent="0.25">
      <c r="B67" s="65">
        <v>6524</v>
      </c>
      <c r="C67" s="65" t="s">
        <v>124</v>
      </c>
      <c r="D67" s="67"/>
      <c r="E67" s="70"/>
      <c r="F67" s="70"/>
      <c r="G67" s="37">
        <f>60000+2000</f>
        <v>62000</v>
      </c>
      <c r="H67" s="32">
        <f>110000+5000</f>
        <v>115000</v>
      </c>
      <c r="I67" s="364">
        <f>120000+20000</f>
        <v>140000</v>
      </c>
      <c r="J67" s="32">
        <v>101761.34</v>
      </c>
      <c r="K67" s="32">
        <v>105000</v>
      </c>
      <c r="L67" s="32">
        <v>192000</v>
      </c>
    </row>
    <row r="68" spans="2:14" x14ac:dyDescent="0.25">
      <c r="B68" s="65">
        <v>6526</v>
      </c>
      <c r="C68" s="468" t="s">
        <v>125</v>
      </c>
      <c r="D68" s="469"/>
      <c r="E68" s="469"/>
      <c r="F68" s="469"/>
      <c r="G68" s="37">
        <v>31847</v>
      </c>
      <c r="H68" s="32">
        <v>43508</v>
      </c>
      <c r="I68" s="364">
        <v>34550</v>
      </c>
      <c r="J68" s="32"/>
      <c r="K68" s="32">
        <v>38000</v>
      </c>
      <c r="L68" s="32">
        <v>44000</v>
      </c>
    </row>
    <row r="69" spans="2:14" x14ac:dyDescent="0.25">
      <c r="B69" s="65">
        <v>6531</v>
      </c>
      <c r="C69" s="468" t="s">
        <v>837</v>
      </c>
      <c r="D69" s="469"/>
      <c r="E69" s="469"/>
      <c r="F69" s="469"/>
      <c r="G69" s="37">
        <v>100</v>
      </c>
      <c r="H69" s="32">
        <v>0</v>
      </c>
      <c r="I69" s="364">
        <v>5000</v>
      </c>
      <c r="J69" s="32"/>
      <c r="K69" s="32">
        <v>50000</v>
      </c>
      <c r="L69" s="32"/>
    </row>
    <row r="70" spans="2:14" x14ac:dyDescent="0.25">
      <c r="B70" s="65">
        <v>6532</v>
      </c>
      <c r="C70" s="468" t="s">
        <v>126</v>
      </c>
      <c r="D70" s="469"/>
      <c r="E70" s="469"/>
      <c r="F70" s="469"/>
      <c r="G70" s="37">
        <f>15000+468</f>
        <v>15468</v>
      </c>
      <c r="H70" s="32">
        <f>15000+2000</f>
        <v>17000</v>
      </c>
      <c r="I70" s="364">
        <v>17000</v>
      </c>
      <c r="J70" s="32">
        <v>12818.05</v>
      </c>
      <c r="K70" s="32">
        <v>34000</v>
      </c>
      <c r="L70" s="32">
        <v>34000</v>
      </c>
    </row>
    <row r="71" spans="2:14" x14ac:dyDescent="0.25">
      <c r="B71" s="105">
        <v>66</v>
      </c>
      <c r="C71" s="187" t="s">
        <v>561</v>
      </c>
      <c r="D71" s="188"/>
      <c r="E71" s="188"/>
      <c r="F71" s="188"/>
      <c r="G71" s="220">
        <f t="shared" ref="G71" si="3">G72</f>
        <v>0</v>
      </c>
      <c r="H71" s="220">
        <f t="shared" ref="H71:L71" si="4">H72</f>
        <v>950</v>
      </c>
      <c r="I71" s="368">
        <f t="shared" si="4"/>
        <v>900</v>
      </c>
      <c r="J71" s="220">
        <f t="shared" si="4"/>
        <v>381.56</v>
      </c>
      <c r="K71" s="220">
        <f t="shared" si="4"/>
        <v>1000</v>
      </c>
      <c r="L71" s="220">
        <f t="shared" si="4"/>
        <v>1000</v>
      </c>
    </row>
    <row r="72" spans="2:14" x14ac:dyDescent="0.25">
      <c r="B72" s="65">
        <v>6614</v>
      </c>
      <c r="C72" s="147" t="s">
        <v>411</v>
      </c>
      <c r="D72" s="148"/>
      <c r="E72" s="148"/>
      <c r="F72" s="148"/>
      <c r="G72" s="37"/>
      <c r="H72" s="32">
        <v>950</v>
      </c>
      <c r="I72" s="364">
        <v>900</v>
      </c>
      <c r="J72" s="32">
        <v>381.56</v>
      </c>
      <c r="K72" s="32">
        <v>1000</v>
      </c>
      <c r="L72" s="32">
        <v>1000</v>
      </c>
    </row>
    <row r="73" spans="2:14" x14ac:dyDescent="0.25">
      <c r="B73" s="47">
        <v>7</v>
      </c>
      <c r="C73" s="589" t="s">
        <v>2</v>
      </c>
      <c r="D73" s="589"/>
      <c r="E73" s="589"/>
      <c r="F73" s="590"/>
      <c r="G73" s="46">
        <f t="shared" ref="G73:L74" si="5">G74</f>
        <v>500</v>
      </c>
      <c r="H73" s="46">
        <f t="shared" si="5"/>
        <v>500</v>
      </c>
      <c r="I73" s="108">
        <f t="shared" si="5"/>
        <v>31200</v>
      </c>
      <c r="J73" s="46">
        <f t="shared" si="5"/>
        <v>700</v>
      </c>
      <c r="K73" s="46">
        <f t="shared" si="5"/>
        <v>21200</v>
      </c>
      <c r="L73" s="46">
        <f t="shared" si="5"/>
        <v>1200</v>
      </c>
    </row>
    <row r="74" spans="2:14" x14ac:dyDescent="0.25">
      <c r="B74" s="105">
        <v>72</v>
      </c>
      <c r="C74" s="105" t="s">
        <v>127</v>
      </c>
      <c r="D74" s="105"/>
      <c r="E74" s="105"/>
      <c r="F74" s="107"/>
      <c r="G74" s="106">
        <f>G75</f>
        <v>500</v>
      </c>
      <c r="H74" s="106">
        <f t="shared" si="5"/>
        <v>500</v>
      </c>
      <c r="I74" s="366">
        <f t="shared" si="5"/>
        <v>31200</v>
      </c>
      <c r="J74" s="106">
        <f t="shared" si="5"/>
        <v>700</v>
      </c>
      <c r="K74" s="106">
        <f t="shared" si="5"/>
        <v>21200</v>
      </c>
      <c r="L74" s="106">
        <f t="shared" si="5"/>
        <v>1200</v>
      </c>
    </row>
    <row r="75" spans="2:14" x14ac:dyDescent="0.25">
      <c r="B75" s="65">
        <v>7211</v>
      </c>
      <c r="C75" s="65" t="s">
        <v>843</v>
      </c>
      <c r="D75" s="67"/>
      <c r="E75" s="70"/>
      <c r="F75" s="70"/>
      <c r="G75" s="37">
        <v>500</v>
      </c>
      <c r="H75" s="32">
        <v>500</v>
      </c>
      <c r="I75" s="364">
        <f>1200+30000</f>
        <v>31200</v>
      </c>
      <c r="J75" s="32">
        <v>700</v>
      </c>
      <c r="K75" s="32">
        <v>21200</v>
      </c>
      <c r="L75" s="32">
        <v>1200</v>
      </c>
    </row>
    <row r="76" spans="2:14" x14ac:dyDescent="0.25">
      <c r="B76" s="67"/>
      <c r="C76" s="70"/>
      <c r="D76" s="72"/>
      <c r="E76" s="70"/>
      <c r="F76" s="68"/>
      <c r="G76" s="32"/>
      <c r="H76" s="32"/>
      <c r="I76" s="364"/>
      <c r="J76" s="32"/>
      <c r="K76" s="32"/>
      <c r="L76" s="32"/>
    </row>
    <row r="77" spans="2:14" x14ac:dyDescent="0.25">
      <c r="B77" s="595" t="s">
        <v>317</v>
      </c>
      <c r="C77" s="596"/>
      <c r="D77" s="596"/>
      <c r="E77" s="596"/>
      <c r="F77" s="597"/>
      <c r="G77" s="108">
        <f t="shared" ref="G77:L77" si="6">G73+G2</f>
        <v>1705171</v>
      </c>
      <c r="H77" s="108">
        <f t="shared" si="6"/>
        <v>2044186</v>
      </c>
      <c r="I77" s="108">
        <f>I73+I2</f>
        <v>2311361.2000000002</v>
      </c>
      <c r="J77" s="108">
        <f t="shared" si="6"/>
        <v>1081022.1800000002</v>
      </c>
      <c r="K77" s="108">
        <f t="shared" si="6"/>
        <v>2473090</v>
      </c>
      <c r="L77" s="108">
        <f t="shared" si="6"/>
        <v>2538340</v>
      </c>
    </row>
    <row r="78" spans="2:14" ht="15.75" x14ac:dyDescent="0.25">
      <c r="B78" s="74"/>
      <c r="C78" s="74"/>
      <c r="D78" s="74"/>
      <c r="E78" s="74"/>
      <c r="F78" s="74"/>
      <c r="G78" s="32"/>
      <c r="H78" s="32"/>
      <c r="I78" s="364"/>
      <c r="J78" s="32"/>
      <c r="K78" s="32"/>
      <c r="L78" s="32"/>
    </row>
    <row r="81" spans="7:13" x14ac:dyDescent="0.25">
      <c r="G81" s="32">
        <f>'[1]Rashodi radni primjer '!E3</f>
        <v>0</v>
      </c>
      <c r="H81" s="32">
        <f>100000+100000</f>
        <v>200000</v>
      </c>
      <c r="I81" s="364">
        <f>100000+20000+20000</f>
        <v>140000</v>
      </c>
      <c r="J81" s="32"/>
      <c r="K81" s="32"/>
      <c r="L81" s="32"/>
      <c r="M81" s="32" t="s">
        <v>661</v>
      </c>
    </row>
    <row r="82" spans="7:13" x14ac:dyDescent="0.25">
      <c r="H82" s="32">
        <f>H77+H81</f>
        <v>2244186</v>
      </c>
      <c r="I82" s="364">
        <f>I77</f>
        <v>2311361.2000000002</v>
      </c>
      <c r="J82" s="364">
        <f t="shared" ref="J82:L82" si="7">J77</f>
        <v>1081022.1800000002</v>
      </c>
      <c r="K82" s="364">
        <f t="shared" si="7"/>
        <v>2473090</v>
      </c>
      <c r="L82" s="364">
        <f t="shared" si="7"/>
        <v>2538340</v>
      </c>
      <c r="M82" s="32" t="s">
        <v>662</v>
      </c>
    </row>
    <row r="83" spans="7:13" x14ac:dyDescent="0.25">
      <c r="G83" s="32">
        <f>G77-G81</f>
        <v>1705171</v>
      </c>
      <c r="H83" s="32">
        <f>'plan rashoda RADNI'!F4</f>
        <v>2244186</v>
      </c>
      <c r="I83" s="364">
        <f>'plan rashoda RADNI'!G4</f>
        <v>2451361.2000000002</v>
      </c>
      <c r="J83" s="32"/>
      <c r="K83" s="32">
        <v>2473090</v>
      </c>
      <c r="L83" s="32">
        <v>2538340</v>
      </c>
      <c r="M83" s="32" t="s">
        <v>660</v>
      </c>
    </row>
    <row r="85" spans="7:13" x14ac:dyDescent="0.25">
      <c r="G85" s="32">
        <f>300000+20000</f>
        <v>320000</v>
      </c>
      <c r="H85" s="32">
        <f>H82-H83</f>
        <v>0</v>
      </c>
      <c r="I85" s="369">
        <f>I83-I82-I81</f>
        <v>0</v>
      </c>
      <c r="J85" s="369">
        <f t="shared" ref="J85:L85" si="8">J83-J82-J81</f>
        <v>-1081022.1800000002</v>
      </c>
      <c r="K85" s="369">
        <f t="shared" si="8"/>
        <v>0</v>
      </c>
      <c r="L85" s="369">
        <f t="shared" si="8"/>
        <v>0</v>
      </c>
      <c r="M85" s="32" t="s">
        <v>663</v>
      </c>
    </row>
    <row r="86" spans="7:13" x14ac:dyDescent="0.25">
      <c r="G86" s="32"/>
      <c r="H86" s="32"/>
      <c r="I86" s="364"/>
      <c r="J86" s="32"/>
      <c r="K86" s="32"/>
      <c r="L86" s="32"/>
    </row>
    <row r="87" spans="7:13" x14ac:dyDescent="0.25">
      <c r="G87" s="32">
        <f>G83+G85</f>
        <v>2025171</v>
      </c>
      <c r="H87" s="32"/>
      <c r="I87" s="364"/>
      <c r="J87" s="32"/>
      <c r="K87" s="32"/>
      <c r="L87" s="32"/>
    </row>
    <row r="88" spans="7:13" x14ac:dyDescent="0.25">
      <c r="G88" s="32"/>
      <c r="H88" s="32"/>
      <c r="I88" s="364"/>
      <c r="J88" s="32"/>
      <c r="K88" s="32"/>
      <c r="L88" s="32"/>
    </row>
    <row r="89" spans="7:13" x14ac:dyDescent="0.25">
      <c r="G89" s="32"/>
      <c r="H89" s="32"/>
      <c r="I89" s="364"/>
      <c r="J89" s="32"/>
      <c r="K89" s="32"/>
      <c r="L89" s="32"/>
    </row>
    <row r="90" spans="7:13" x14ac:dyDescent="0.25">
      <c r="G90" s="32"/>
      <c r="H90" s="32"/>
      <c r="I90" s="364"/>
      <c r="J90" s="32"/>
      <c r="K90" s="32"/>
      <c r="L90" s="32"/>
    </row>
    <row r="91" spans="7:13" x14ac:dyDescent="0.25">
      <c r="G91" s="32"/>
      <c r="H91" s="32"/>
      <c r="I91" s="364"/>
      <c r="J91" s="32"/>
      <c r="K91" s="32"/>
      <c r="L91" s="32"/>
    </row>
    <row r="92" spans="7:13" x14ac:dyDescent="0.25">
      <c r="G92" s="32"/>
      <c r="H92" s="32"/>
      <c r="I92" s="364"/>
      <c r="J92" s="32"/>
      <c r="K92" s="32"/>
      <c r="L92" s="32"/>
    </row>
  </sheetData>
  <mergeCells count="31">
    <mergeCell ref="L11:L12"/>
    <mergeCell ref="B77:F77"/>
    <mergeCell ref="H11:H12"/>
    <mergeCell ref="C55:F55"/>
    <mergeCell ref="C62:F62"/>
    <mergeCell ref="C63:F63"/>
    <mergeCell ref="C68:F68"/>
    <mergeCell ref="C69:F69"/>
    <mergeCell ref="C41:F41"/>
    <mergeCell ref="C42:F42"/>
    <mergeCell ref="C43:F43"/>
    <mergeCell ref="C44:F44"/>
    <mergeCell ref="C47:F47"/>
    <mergeCell ref="G11:G12"/>
    <mergeCell ref="I11:I12"/>
    <mergeCell ref="K11:K12"/>
    <mergeCell ref="C70:F70"/>
    <mergeCell ref="C73:F73"/>
    <mergeCell ref="C49:F49"/>
    <mergeCell ref="C15:F15"/>
    <mergeCell ref="C19:F19"/>
    <mergeCell ref="C36:F36"/>
    <mergeCell ref="C37:F37"/>
    <mergeCell ref="C24:F24"/>
    <mergeCell ref="J11:J12"/>
    <mergeCell ref="C10:F10"/>
    <mergeCell ref="B2:F2"/>
    <mergeCell ref="C3:F3"/>
    <mergeCell ref="C5:F5"/>
    <mergeCell ref="C7:F7"/>
    <mergeCell ref="C9:F9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E2E1-31E2-43AA-9D22-F37F7AE6D6E5}">
  <dimension ref="A1:W751"/>
  <sheetViews>
    <sheetView topLeftCell="A513" zoomScale="110" zoomScaleNormal="110" workbookViewId="0">
      <selection activeCell="G523" sqref="G523:G567"/>
    </sheetView>
  </sheetViews>
  <sheetFormatPr defaultRowHeight="15" x14ac:dyDescent="0.25"/>
  <cols>
    <col min="1" max="1" width="7.28515625" customWidth="1"/>
    <col min="2" max="2" width="6.140625" customWidth="1"/>
    <col min="4" max="4" width="10.140625" bestFit="1" customWidth="1"/>
    <col min="5" max="5" width="28.140625" customWidth="1"/>
    <col min="6" max="8" width="22" style="32" customWidth="1"/>
    <col min="9" max="9" width="19" style="32" customWidth="1"/>
    <col min="10" max="10" width="11.140625" style="32" bestFit="1" customWidth="1"/>
    <col min="11" max="11" width="12.5703125" style="32" bestFit="1" customWidth="1"/>
    <col min="12" max="12" width="10" style="32" bestFit="1" customWidth="1"/>
    <col min="13" max="13" width="11.7109375" style="32" bestFit="1" customWidth="1"/>
    <col min="14" max="14" width="10" style="32" bestFit="1" customWidth="1"/>
    <col min="15" max="16" width="9.140625" style="32"/>
  </cols>
  <sheetData>
    <row r="1" spans="1:23" ht="15.75" x14ac:dyDescent="0.25">
      <c r="A1" s="59"/>
      <c r="B1" s="62"/>
      <c r="C1" s="62"/>
      <c r="D1" s="62"/>
      <c r="E1" s="62"/>
      <c r="F1" s="64"/>
      <c r="G1" s="64"/>
      <c r="H1" s="64"/>
    </row>
    <row r="2" spans="1:23" s="333" customFormat="1" ht="15.75" x14ac:dyDescent="0.25">
      <c r="A2" s="346"/>
      <c r="B2" s="347"/>
      <c r="C2" s="347"/>
      <c r="D2" s="347"/>
      <c r="E2" s="347"/>
      <c r="F2" s="348"/>
      <c r="G2" s="348" t="s">
        <v>762</v>
      </c>
      <c r="H2" s="348"/>
      <c r="I2" s="349"/>
      <c r="J2" s="349"/>
      <c r="K2" s="349"/>
      <c r="L2" s="349"/>
      <c r="M2" s="349"/>
      <c r="N2" s="349"/>
      <c r="O2" s="349"/>
      <c r="P2" s="349"/>
    </row>
    <row r="3" spans="1:23" ht="29.25" customHeight="1" x14ac:dyDescent="0.25">
      <c r="F3" s="240" t="s">
        <v>605</v>
      </c>
      <c r="G3" s="358" t="s">
        <v>735</v>
      </c>
      <c r="H3" s="78" t="s">
        <v>804</v>
      </c>
    </row>
    <row r="4" spans="1:23" ht="15.75" x14ac:dyDescent="0.25">
      <c r="A4" s="79" t="s">
        <v>101</v>
      </c>
      <c r="B4" s="79"/>
      <c r="C4" s="79"/>
      <c r="D4" s="79"/>
      <c r="E4" s="79"/>
      <c r="F4" s="80">
        <f>F5+F66</f>
        <v>2244186</v>
      </c>
      <c r="G4" s="80">
        <f>SUM(G11:G734)</f>
        <v>2451361.2000000002</v>
      </c>
      <c r="H4" s="80">
        <f t="shared" ref="H4" si="0">H5+H66</f>
        <v>964784.41999999993</v>
      </c>
    </row>
    <row r="5" spans="1:23" ht="15.75" x14ac:dyDescent="0.25">
      <c r="A5" s="81" t="s">
        <v>63</v>
      </c>
      <c r="B5" s="81"/>
      <c r="C5" s="81"/>
      <c r="D5" s="81"/>
      <c r="E5" s="81"/>
      <c r="F5" s="82">
        <f>F6</f>
        <v>95312</v>
      </c>
      <c r="G5" s="82"/>
      <c r="H5" s="82">
        <f t="shared" ref="H5" si="1">H6</f>
        <v>79401</v>
      </c>
    </row>
    <row r="6" spans="1:23" x14ac:dyDescent="0.25">
      <c r="A6" s="83" t="s">
        <v>147</v>
      </c>
      <c r="B6" s="83"/>
      <c r="C6" s="83"/>
      <c r="D6" s="83"/>
      <c r="E6" s="83"/>
      <c r="F6" s="84">
        <f>F7+F50</f>
        <v>95312</v>
      </c>
      <c r="G6" s="84"/>
      <c r="H6" s="84">
        <f t="shared" ref="H6" si="2">H7+H50</f>
        <v>79401</v>
      </c>
    </row>
    <row r="7" spans="1:23" x14ac:dyDescent="0.25">
      <c r="A7" s="48" t="s">
        <v>359</v>
      </c>
      <c r="B7" s="48"/>
      <c r="C7" s="48"/>
      <c r="D7" s="48"/>
      <c r="E7" s="38"/>
      <c r="F7" s="76">
        <f>F9+F27+F39+F44</f>
        <v>81212</v>
      </c>
      <c r="G7" s="76"/>
      <c r="H7" s="76">
        <f>H9+H27+H39</f>
        <v>65286.720000000001</v>
      </c>
    </row>
    <row r="8" spans="1:23" x14ac:dyDescent="0.25">
      <c r="A8" s="630" t="s">
        <v>333</v>
      </c>
      <c r="B8" s="630"/>
      <c r="C8" s="630"/>
      <c r="D8" s="630"/>
      <c r="E8" s="630"/>
      <c r="F8" s="143"/>
      <c r="G8" s="143"/>
      <c r="H8" s="37"/>
    </row>
    <row r="9" spans="1:23" x14ac:dyDescent="0.25">
      <c r="A9" s="85" t="s">
        <v>148</v>
      </c>
      <c r="B9" s="86"/>
      <c r="C9" s="86"/>
      <c r="D9" s="86"/>
      <c r="E9" s="86"/>
      <c r="F9" s="87">
        <f>F11</f>
        <v>49252</v>
      </c>
      <c r="G9" s="87"/>
      <c r="H9" s="88">
        <f>H14+H16+H19+H21</f>
        <v>35693.69</v>
      </c>
      <c r="K9" s="32" t="s">
        <v>608</v>
      </c>
    </row>
    <row r="10" spans="1:23" x14ac:dyDescent="0.25">
      <c r="A10" s="241"/>
      <c r="B10" s="242"/>
      <c r="C10" s="242"/>
      <c r="D10" s="242"/>
      <c r="E10" s="242"/>
      <c r="F10" s="73"/>
      <c r="G10" s="73"/>
      <c r="H10" s="73"/>
      <c r="J10" s="32">
        <v>31</v>
      </c>
    </row>
    <row r="11" spans="1:23" x14ac:dyDescent="0.25">
      <c r="A11" s="153">
        <v>3</v>
      </c>
      <c r="B11" s="153" t="s">
        <v>18</v>
      </c>
      <c r="C11" s="153"/>
      <c r="D11" s="153"/>
      <c r="E11" s="153"/>
      <c r="F11" s="73">
        <f>F12+F17+F22</f>
        <v>49252</v>
      </c>
      <c r="G11" s="73"/>
      <c r="H11" s="73"/>
      <c r="J11" s="32">
        <v>32</v>
      </c>
      <c r="U11" s="32"/>
      <c r="V11" s="32"/>
      <c r="W11" s="32"/>
    </row>
    <row r="12" spans="1:23" x14ac:dyDescent="0.25">
      <c r="A12" s="153">
        <v>31</v>
      </c>
      <c r="B12" s="153" t="s">
        <v>128</v>
      </c>
      <c r="C12" s="153"/>
      <c r="D12" s="153"/>
      <c r="E12" s="153"/>
      <c r="F12" s="73">
        <f>F13+F15</f>
        <v>46252</v>
      </c>
      <c r="G12" s="73"/>
      <c r="H12" s="73"/>
      <c r="J12" s="32">
        <v>34</v>
      </c>
      <c r="U12" s="32"/>
      <c r="V12" s="32"/>
      <c r="W12" s="32"/>
    </row>
    <row r="13" spans="1:23" x14ac:dyDescent="0.25">
      <c r="A13" s="153">
        <v>311</v>
      </c>
      <c r="B13" s="153" t="s">
        <v>149</v>
      </c>
      <c r="C13" s="153"/>
      <c r="D13" s="153"/>
      <c r="E13" s="153"/>
      <c r="F13" s="73">
        <f>F14</f>
        <v>39700</v>
      </c>
      <c r="G13" s="73"/>
      <c r="H13" s="73"/>
      <c r="J13" s="32">
        <v>35</v>
      </c>
      <c r="U13" s="32"/>
      <c r="V13" s="32"/>
      <c r="W13" s="32"/>
    </row>
    <row r="14" spans="1:23" x14ac:dyDescent="0.25">
      <c r="A14" s="242">
        <v>3111</v>
      </c>
      <c r="B14" s="242" t="s">
        <v>301</v>
      </c>
      <c r="C14" s="242"/>
      <c r="D14" s="242"/>
      <c r="E14" s="242"/>
      <c r="F14" s="226">
        <v>39700</v>
      </c>
      <c r="G14" s="226">
        <v>40200</v>
      </c>
      <c r="H14" s="226">
        <f>20038.74+3659.7+5924.64</f>
        <v>29623.08</v>
      </c>
      <c r="I14" s="32">
        <f>3350*12</f>
        <v>40200</v>
      </c>
      <c r="J14" s="32">
        <v>36</v>
      </c>
      <c r="U14" s="32"/>
      <c r="V14" s="32"/>
      <c r="W14" s="32"/>
    </row>
    <row r="15" spans="1:23" x14ac:dyDescent="0.25">
      <c r="A15" s="153">
        <v>313</v>
      </c>
      <c r="B15" s="153" t="s">
        <v>131</v>
      </c>
      <c r="C15" s="153"/>
      <c r="D15" s="153"/>
      <c r="E15" s="153"/>
      <c r="F15" s="73">
        <f>F16</f>
        <v>6552</v>
      </c>
      <c r="G15" s="73"/>
      <c r="H15" s="73"/>
      <c r="J15" s="32">
        <v>37</v>
      </c>
      <c r="U15" s="32"/>
      <c r="V15" s="32"/>
      <c r="W15" s="32"/>
    </row>
    <row r="16" spans="1:23" x14ac:dyDescent="0.25">
      <c r="A16" s="242">
        <v>3132</v>
      </c>
      <c r="B16" s="242" t="s">
        <v>150</v>
      </c>
      <c r="C16" s="242"/>
      <c r="D16" s="242"/>
      <c r="E16" s="242"/>
      <c r="F16" s="226">
        <v>6552</v>
      </c>
      <c r="G16" s="226">
        <v>6650</v>
      </c>
      <c r="H16" s="226">
        <v>4887.8100000000004</v>
      </c>
      <c r="I16" s="32">
        <f>I14*16.5/100</f>
        <v>6633</v>
      </c>
      <c r="J16" s="32">
        <v>38</v>
      </c>
      <c r="U16" s="32"/>
      <c r="V16" s="32"/>
      <c r="W16" s="32"/>
    </row>
    <row r="17" spans="1:23" x14ac:dyDescent="0.25">
      <c r="A17" s="153">
        <v>32</v>
      </c>
      <c r="B17" s="153" t="s">
        <v>132</v>
      </c>
      <c r="C17" s="153"/>
      <c r="D17" s="153"/>
      <c r="E17" s="153"/>
      <c r="F17" s="73">
        <f>F18+F20</f>
        <v>2000</v>
      </c>
      <c r="G17" s="73"/>
      <c r="H17" s="73"/>
      <c r="K17" s="32">
        <f>SUM(K10:K16)</f>
        <v>0</v>
      </c>
      <c r="U17" s="32"/>
      <c r="V17" s="32"/>
      <c r="W17" s="32"/>
    </row>
    <row r="18" spans="1:23" x14ac:dyDescent="0.25">
      <c r="A18" s="153">
        <v>321</v>
      </c>
      <c r="B18" s="153" t="s">
        <v>133</v>
      </c>
      <c r="C18" s="153"/>
      <c r="D18" s="153"/>
      <c r="E18" s="153"/>
      <c r="F18" s="73">
        <f>F19</f>
        <v>1500</v>
      </c>
      <c r="G18" s="73"/>
      <c r="H18" s="73"/>
      <c r="M18" s="32" t="s">
        <v>659</v>
      </c>
      <c r="N18" s="32">
        <f>K17+K22</f>
        <v>0</v>
      </c>
      <c r="U18" s="32"/>
      <c r="V18" s="32"/>
      <c r="W18" s="32"/>
    </row>
    <row r="19" spans="1:23" x14ac:dyDescent="0.25">
      <c r="A19" s="242">
        <v>3214</v>
      </c>
      <c r="B19" s="242" t="s">
        <v>151</v>
      </c>
      <c r="C19" s="242"/>
      <c r="D19" s="242"/>
      <c r="E19" s="242"/>
      <c r="F19" s="226">
        <v>1500</v>
      </c>
      <c r="G19" s="226">
        <v>1500</v>
      </c>
      <c r="H19" s="226">
        <f>580+189</f>
        <v>769</v>
      </c>
      <c r="U19" s="32"/>
      <c r="V19" s="32"/>
      <c r="W19" s="32"/>
    </row>
    <row r="20" spans="1:23" x14ac:dyDescent="0.25">
      <c r="A20" s="153">
        <v>329</v>
      </c>
      <c r="B20" s="153" t="s">
        <v>152</v>
      </c>
      <c r="C20" s="153"/>
      <c r="D20" s="153"/>
      <c r="E20" s="153"/>
      <c r="F20" s="73">
        <f>F21</f>
        <v>500</v>
      </c>
      <c r="G20" s="73"/>
      <c r="H20" s="73"/>
      <c r="J20" s="32">
        <v>42</v>
      </c>
      <c r="U20" s="32"/>
      <c r="V20" s="32"/>
      <c r="W20" s="32"/>
    </row>
    <row r="21" spans="1:23" x14ac:dyDescent="0.25">
      <c r="A21" s="242">
        <v>3293</v>
      </c>
      <c r="B21" s="242" t="s">
        <v>153</v>
      </c>
      <c r="C21" s="242"/>
      <c r="D21" s="242"/>
      <c r="E21" s="242"/>
      <c r="F21" s="226">
        <v>500</v>
      </c>
      <c r="G21" s="226">
        <v>500</v>
      </c>
      <c r="H21" s="226">
        <v>413.8</v>
      </c>
      <c r="I21"/>
      <c r="J21">
        <v>45</v>
      </c>
      <c r="K21"/>
      <c r="L21"/>
      <c r="N21" s="116"/>
      <c r="V21" s="32"/>
    </row>
    <row r="22" spans="1:23" x14ac:dyDescent="0.25">
      <c r="A22" s="153">
        <v>38</v>
      </c>
      <c r="B22" s="153" t="s">
        <v>154</v>
      </c>
      <c r="C22" s="153"/>
      <c r="D22" s="153"/>
      <c r="E22" s="153"/>
      <c r="F22" s="73">
        <f>F23</f>
        <v>1000</v>
      </c>
      <c r="G22" s="73"/>
      <c r="H22" s="73"/>
      <c r="K22" s="32">
        <f>K20+K21</f>
        <v>0</v>
      </c>
    </row>
    <row r="23" spans="1:23" x14ac:dyDescent="0.25">
      <c r="A23" s="153">
        <v>381</v>
      </c>
      <c r="B23" s="608" t="s">
        <v>155</v>
      </c>
      <c r="C23" s="608"/>
      <c r="D23" s="608"/>
      <c r="E23" s="608"/>
      <c r="F23" s="73">
        <f>F24</f>
        <v>1000</v>
      </c>
      <c r="G23" s="73"/>
      <c r="H23" s="73"/>
    </row>
    <row r="24" spans="1:23" x14ac:dyDescent="0.25">
      <c r="A24" s="242">
        <v>381</v>
      </c>
      <c r="B24" s="65" t="s">
        <v>156</v>
      </c>
      <c r="C24" s="242"/>
      <c r="D24" s="242"/>
      <c r="E24" s="242"/>
      <c r="F24" s="37">
        <v>1000</v>
      </c>
      <c r="G24" s="37">
        <v>1000</v>
      </c>
      <c r="H24" s="37"/>
    </row>
    <row r="25" spans="1:23" x14ac:dyDescent="0.25">
      <c r="A25" s="242"/>
      <c r="B25" s="242"/>
      <c r="C25" s="242"/>
      <c r="D25" s="242"/>
      <c r="E25" s="242"/>
      <c r="F25" s="37"/>
      <c r="G25" s="37"/>
      <c r="H25" s="37"/>
    </row>
    <row r="26" spans="1:23" x14ac:dyDescent="0.25">
      <c r="A26" s="631" t="s">
        <v>333</v>
      </c>
      <c r="B26" s="631"/>
      <c r="C26" s="631"/>
      <c r="D26" s="631"/>
      <c r="E26" s="631"/>
      <c r="F26" s="143"/>
      <c r="G26" s="143"/>
      <c r="H26" s="37"/>
    </row>
    <row r="27" spans="1:23" x14ac:dyDescent="0.25">
      <c r="A27" s="612" t="s">
        <v>157</v>
      </c>
      <c r="B27" s="612"/>
      <c r="C27" s="612"/>
      <c r="D27" s="612"/>
      <c r="E27" s="612"/>
      <c r="F27" s="87">
        <f>F29</f>
        <v>7960</v>
      </c>
      <c r="G27" s="87"/>
      <c r="H27" s="88">
        <f>H32+H37</f>
        <v>5644.8</v>
      </c>
    </row>
    <row r="28" spans="1:23" x14ac:dyDescent="0.25">
      <c r="A28" s="153"/>
      <c r="B28" s="153"/>
      <c r="C28" s="153"/>
      <c r="D28" s="153"/>
      <c r="E28" s="153"/>
      <c r="F28" s="73"/>
      <c r="G28" s="73"/>
      <c r="H28" s="73"/>
    </row>
    <row r="29" spans="1:23" x14ac:dyDescent="0.25">
      <c r="A29" s="153">
        <v>3</v>
      </c>
      <c r="B29" s="153" t="s">
        <v>158</v>
      </c>
      <c r="C29" s="153"/>
      <c r="D29" s="153"/>
      <c r="E29" s="153"/>
      <c r="F29" s="73">
        <f>F30+F34</f>
        <v>7960</v>
      </c>
      <c r="G29" s="73"/>
      <c r="H29" s="73"/>
    </row>
    <row r="30" spans="1:23" x14ac:dyDescent="0.25">
      <c r="A30" s="153">
        <v>32</v>
      </c>
      <c r="B30" s="153" t="s">
        <v>132</v>
      </c>
      <c r="C30" s="153"/>
      <c r="D30" s="153"/>
      <c r="E30" s="153"/>
      <c r="F30" s="73">
        <f>F31</f>
        <v>6360</v>
      </c>
      <c r="G30" s="73"/>
      <c r="H30" s="73"/>
    </row>
    <row r="31" spans="1:23" x14ac:dyDescent="0.25">
      <c r="A31" s="153">
        <v>329</v>
      </c>
      <c r="B31" s="153" t="s">
        <v>159</v>
      </c>
      <c r="C31" s="153"/>
      <c r="D31" s="153"/>
      <c r="E31" s="153"/>
      <c r="F31" s="73">
        <f>F32+F33</f>
        <v>6360</v>
      </c>
      <c r="G31" s="73"/>
      <c r="H31" s="73"/>
    </row>
    <row r="32" spans="1:23" x14ac:dyDescent="0.25">
      <c r="A32" s="242">
        <v>3291</v>
      </c>
      <c r="B32" s="242" t="s">
        <v>160</v>
      </c>
      <c r="C32" s="242"/>
      <c r="D32" s="242"/>
      <c r="E32" s="242"/>
      <c r="F32" s="37">
        <v>6240</v>
      </c>
      <c r="G32" s="37">
        <f>7800-1000</f>
        <v>6800</v>
      </c>
      <c r="H32" s="37">
        <v>4792.8</v>
      </c>
      <c r="I32" s="32">
        <f>650*12</f>
        <v>7800</v>
      </c>
    </row>
    <row r="33" spans="1:9" x14ac:dyDescent="0.25">
      <c r="A33" s="65">
        <v>3291</v>
      </c>
      <c r="B33" s="65" t="s">
        <v>161</v>
      </c>
      <c r="C33" s="65"/>
      <c r="D33" s="65"/>
      <c r="E33" s="65"/>
      <c r="F33" s="37">
        <v>120</v>
      </c>
      <c r="G33" s="37">
        <v>120</v>
      </c>
      <c r="H33" s="37"/>
      <c r="I33" s="32">
        <f>60*2</f>
        <v>120</v>
      </c>
    </row>
    <row r="34" spans="1:9" x14ac:dyDescent="0.25">
      <c r="A34" s="153">
        <v>38</v>
      </c>
      <c r="B34" s="153" t="s">
        <v>154</v>
      </c>
      <c r="C34" s="242"/>
      <c r="D34" s="242"/>
      <c r="E34" s="242"/>
      <c r="F34" s="73">
        <f>F35</f>
        <v>1600</v>
      </c>
      <c r="G34" s="73"/>
      <c r="H34" s="73"/>
    </row>
    <row r="35" spans="1:9" x14ac:dyDescent="0.25">
      <c r="A35" s="153">
        <v>381</v>
      </c>
      <c r="B35" s="153" t="s">
        <v>143</v>
      </c>
      <c r="C35" s="242"/>
      <c r="D35" s="242"/>
      <c r="E35" s="242"/>
      <c r="F35" s="73">
        <f>F36+F37</f>
        <v>1600</v>
      </c>
      <c r="G35" s="73"/>
      <c r="H35" s="73"/>
    </row>
    <row r="36" spans="1:9" x14ac:dyDescent="0.25">
      <c r="A36" s="65">
        <v>3811</v>
      </c>
      <c r="B36" s="65" t="s">
        <v>162</v>
      </c>
      <c r="C36" s="65"/>
      <c r="D36" s="65"/>
      <c r="E36" s="65"/>
      <c r="F36" s="37">
        <v>200</v>
      </c>
      <c r="G36" s="37">
        <v>200</v>
      </c>
      <c r="H36" s="37"/>
    </row>
    <row r="37" spans="1:9" x14ac:dyDescent="0.25">
      <c r="A37" s="65">
        <v>3811</v>
      </c>
      <c r="B37" s="65" t="s">
        <v>163</v>
      </c>
      <c r="C37" s="65"/>
      <c r="D37" s="65"/>
      <c r="E37" s="65"/>
      <c r="F37" s="226">
        <v>1400</v>
      </c>
      <c r="G37" s="226">
        <v>1400</v>
      </c>
      <c r="H37" s="226">
        <f>232.87+43.38+431.01+43.38+101.36</f>
        <v>852</v>
      </c>
    </row>
    <row r="38" spans="1:9" ht="13.5" customHeight="1" x14ac:dyDescent="0.25">
      <c r="A38" s="65"/>
      <c r="B38" s="65"/>
      <c r="C38" s="65"/>
      <c r="D38" s="65"/>
      <c r="E38" s="65"/>
      <c r="F38" s="226"/>
      <c r="G38" s="226"/>
      <c r="H38" s="226"/>
    </row>
    <row r="39" spans="1:9" hidden="1" x14ac:dyDescent="0.25">
      <c r="A39" s="612" t="s">
        <v>805</v>
      </c>
      <c r="B39" s="612"/>
      <c r="C39" s="612"/>
      <c r="D39" s="612"/>
      <c r="E39" s="612"/>
      <c r="F39" s="359">
        <v>20000</v>
      </c>
      <c r="G39" s="359"/>
      <c r="H39" s="360">
        <f>H41+H42</f>
        <v>23948.23</v>
      </c>
    </row>
    <row r="40" spans="1:9" hidden="1" x14ac:dyDescent="0.25">
      <c r="A40" s="65"/>
      <c r="B40" s="65"/>
      <c r="C40" s="65"/>
      <c r="D40" s="65"/>
      <c r="E40" s="65"/>
      <c r="F40" s="226"/>
      <c r="G40" s="226"/>
      <c r="H40" s="226"/>
    </row>
    <row r="41" spans="1:9" ht="15.75" hidden="1" customHeight="1" x14ac:dyDescent="0.25">
      <c r="A41" s="65"/>
      <c r="B41" s="65" t="s">
        <v>806</v>
      </c>
      <c r="C41" s="65"/>
      <c r="D41" s="65"/>
      <c r="E41" s="65"/>
      <c r="F41" s="226"/>
      <c r="G41" s="226"/>
      <c r="H41" s="226">
        <v>1268.75</v>
      </c>
    </row>
    <row r="42" spans="1:9" ht="16.5" hidden="1" customHeight="1" x14ac:dyDescent="0.25">
      <c r="A42" s="65"/>
      <c r="B42" s="65" t="s">
        <v>807</v>
      </c>
      <c r="C42" s="65"/>
      <c r="D42" s="65"/>
      <c r="E42" s="65"/>
      <c r="F42" s="226"/>
      <c r="G42" s="226"/>
      <c r="H42" s="226">
        <v>22679.48</v>
      </c>
    </row>
    <row r="43" spans="1:9" ht="27.75" hidden="1" customHeight="1" x14ac:dyDescent="0.25">
      <c r="A43" s="65"/>
      <c r="B43" s="65"/>
      <c r="C43" s="65"/>
      <c r="D43" s="65"/>
      <c r="E43" s="65"/>
      <c r="F43" s="226"/>
      <c r="G43" s="226"/>
      <c r="H43" s="226"/>
    </row>
    <row r="44" spans="1:9" ht="18.75" hidden="1" customHeight="1" x14ac:dyDescent="0.25">
      <c r="A44" s="263"/>
      <c r="B44" s="263" t="s">
        <v>809</v>
      </c>
      <c r="C44" s="263"/>
      <c r="D44" s="263"/>
      <c r="E44" s="263"/>
      <c r="F44" s="359">
        <v>4000</v>
      </c>
      <c r="G44" s="359"/>
      <c r="H44" s="359"/>
    </row>
    <row r="45" spans="1:9" ht="24.75" hidden="1" customHeight="1" x14ac:dyDescent="0.25">
      <c r="A45" s="65"/>
      <c r="B45" s="65"/>
      <c r="C45" s="65"/>
      <c r="D45" s="65"/>
      <c r="E45" s="65"/>
      <c r="F45" s="226"/>
      <c r="G45" s="226"/>
      <c r="H45" s="226"/>
    </row>
    <row r="46" spans="1:9" ht="20.25" hidden="1" customHeight="1" x14ac:dyDescent="0.25">
      <c r="A46" s="65"/>
      <c r="B46" s="65"/>
      <c r="C46" s="65"/>
      <c r="D46" s="65"/>
      <c r="E46" s="65"/>
      <c r="F46" s="226"/>
      <c r="G46" s="226"/>
      <c r="H46" s="226"/>
    </row>
    <row r="47" spans="1:9" ht="25.5" hidden="1" customHeight="1" x14ac:dyDescent="0.25">
      <c r="A47" s="65"/>
      <c r="B47" s="65"/>
      <c r="C47" s="65"/>
      <c r="D47" s="65"/>
      <c r="E47" s="65"/>
      <c r="F47" s="226"/>
      <c r="G47" s="226"/>
      <c r="H47" s="226"/>
    </row>
    <row r="48" spans="1:9" ht="18.75" hidden="1" customHeight="1" x14ac:dyDescent="0.25">
      <c r="A48" s="65"/>
      <c r="B48" s="65"/>
      <c r="C48" s="65"/>
      <c r="D48" s="65"/>
      <c r="E48" s="65"/>
      <c r="F48" s="226"/>
      <c r="G48" s="226"/>
      <c r="H48" s="226"/>
    </row>
    <row r="49" spans="1:16" hidden="1" x14ac:dyDescent="0.25">
      <c r="A49" s="65"/>
      <c r="B49" s="65"/>
      <c r="C49" s="65"/>
      <c r="D49" s="65"/>
      <c r="E49" s="65"/>
      <c r="F49" s="66"/>
      <c r="G49" s="66"/>
      <c r="H49" s="66"/>
    </row>
    <row r="50" spans="1:16" x14ac:dyDescent="0.25">
      <c r="A50" s="492" t="s">
        <v>696</v>
      </c>
      <c r="B50" s="493"/>
      <c r="C50" s="493"/>
      <c r="D50" s="493"/>
      <c r="E50" s="494"/>
      <c r="F50" s="76">
        <f>F51</f>
        <v>14100</v>
      </c>
      <c r="G50" s="76"/>
      <c r="H50" s="76">
        <f t="shared" ref="H50" si="3">H51</f>
        <v>14114.28</v>
      </c>
    </row>
    <row r="51" spans="1:16" x14ac:dyDescent="0.25">
      <c r="A51" s="612" t="s">
        <v>616</v>
      </c>
      <c r="B51" s="612"/>
      <c r="C51" s="612"/>
      <c r="D51" s="612"/>
      <c r="E51" s="612"/>
      <c r="F51" s="88">
        <f>F53</f>
        <v>14100</v>
      </c>
      <c r="G51" s="88"/>
      <c r="H51" s="88">
        <f>H56+H59+H60+H61+H63+H64+H65</f>
        <v>14114.28</v>
      </c>
    </row>
    <row r="52" spans="1:16" x14ac:dyDescent="0.25">
      <c r="A52" s="65"/>
      <c r="B52" s="65"/>
      <c r="C52" s="65"/>
      <c r="D52" s="65"/>
      <c r="E52" s="65"/>
      <c r="F52" s="66"/>
      <c r="G52" s="66"/>
      <c r="H52" s="66"/>
    </row>
    <row r="53" spans="1:16" x14ac:dyDescent="0.25">
      <c r="A53" s="153">
        <v>3</v>
      </c>
      <c r="B53" s="153" t="s">
        <v>18</v>
      </c>
      <c r="C53" s="153"/>
      <c r="D53" s="153"/>
      <c r="E53" s="65"/>
      <c r="F53" s="73">
        <f>F54</f>
        <v>14100</v>
      </c>
      <c r="G53" s="73"/>
      <c r="H53" s="66"/>
    </row>
    <row r="54" spans="1:16" x14ac:dyDescent="0.25">
      <c r="A54" s="153">
        <v>32</v>
      </c>
      <c r="B54" s="153" t="s">
        <v>132</v>
      </c>
      <c r="C54" s="153"/>
      <c r="D54" s="153"/>
      <c r="E54" s="65"/>
      <c r="F54" s="73">
        <f>F55+F57+F62</f>
        <v>14100</v>
      </c>
      <c r="G54" s="73"/>
      <c r="H54" s="66"/>
    </row>
    <row r="55" spans="1:16" x14ac:dyDescent="0.25">
      <c r="A55" s="153">
        <v>322</v>
      </c>
      <c r="B55" s="153" t="s">
        <v>612</v>
      </c>
      <c r="C55" s="153"/>
      <c r="D55" s="153"/>
      <c r="E55" s="65"/>
      <c r="F55" s="73">
        <f>F56</f>
        <v>1000</v>
      </c>
      <c r="G55" s="73"/>
      <c r="H55" s="66"/>
    </row>
    <row r="56" spans="1:16" x14ac:dyDescent="0.25">
      <c r="A56" s="65">
        <v>3221</v>
      </c>
      <c r="B56" s="65" t="s">
        <v>611</v>
      </c>
      <c r="C56" s="65"/>
      <c r="D56" s="65"/>
      <c r="E56" s="65"/>
      <c r="F56" s="66">
        <v>1000</v>
      </c>
      <c r="G56" s="66">
        <v>1000</v>
      </c>
      <c r="H56" s="66">
        <f>72.76+125.67+98.19</f>
        <v>296.62</v>
      </c>
    </row>
    <row r="57" spans="1:16" s="111" customFormat="1" x14ac:dyDescent="0.25">
      <c r="A57" s="153">
        <v>323</v>
      </c>
      <c r="B57" s="153" t="s">
        <v>613</v>
      </c>
      <c r="C57" s="153"/>
      <c r="D57" s="153"/>
      <c r="E57" s="153"/>
      <c r="F57" s="73">
        <f>F59+F60+F61</f>
        <v>7900</v>
      </c>
      <c r="G57" s="73"/>
      <c r="H57" s="73"/>
      <c r="I57" s="151"/>
      <c r="J57" s="151"/>
      <c r="K57" s="151"/>
      <c r="L57" s="151"/>
      <c r="M57" s="151"/>
      <c r="N57" s="151"/>
      <c r="O57" s="151"/>
      <c r="P57" s="151"/>
    </row>
    <row r="58" spans="1:16" s="111" customFormat="1" x14ac:dyDescent="0.25">
      <c r="A58" s="65">
        <v>323</v>
      </c>
      <c r="B58" s="65" t="s">
        <v>815</v>
      </c>
      <c r="C58" s="65"/>
      <c r="D58" s="153"/>
      <c r="E58" s="153"/>
      <c r="F58" s="73"/>
      <c r="G58" s="66">
        <v>500</v>
      </c>
      <c r="H58" s="73"/>
      <c r="I58" s="151"/>
      <c r="J58" s="151"/>
      <c r="K58" s="151"/>
      <c r="L58" s="151"/>
      <c r="M58" s="151"/>
      <c r="N58" s="151"/>
      <c r="O58" s="151"/>
      <c r="P58" s="151"/>
    </row>
    <row r="59" spans="1:16" x14ac:dyDescent="0.25">
      <c r="A59" s="65">
        <v>3235</v>
      </c>
      <c r="B59" s="65" t="s">
        <v>610</v>
      </c>
      <c r="C59" s="65"/>
      <c r="D59" s="65"/>
      <c r="E59" s="65"/>
      <c r="F59" s="66">
        <f>J59+L59+N59</f>
        <v>3900</v>
      </c>
      <c r="G59" s="66">
        <v>4000</v>
      </c>
      <c r="H59" s="66">
        <f>4000</f>
        <v>4000</v>
      </c>
      <c r="I59" s="32" t="s">
        <v>641</v>
      </c>
      <c r="J59" s="32">
        <f>2*150</f>
        <v>300</v>
      </c>
      <c r="K59" s="32" t="s">
        <v>642</v>
      </c>
      <c r="L59" s="32">
        <f>2*1700</f>
        <v>3400</v>
      </c>
      <c r="M59" s="32" t="s">
        <v>643</v>
      </c>
      <c r="N59" s="32">
        <f>2*100</f>
        <v>200</v>
      </c>
    </row>
    <row r="60" spans="1:16" x14ac:dyDescent="0.25">
      <c r="A60" s="65">
        <v>3237</v>
      </c>
      <c r="B60" s="65" t="s">
        <v>617</v>
      </c>
      <c r="C60" s="65"/>
      <c r="D60" s="65"/>
      <c r="E60" s="65"/>
      <c r="F60" s="66">
        <v>1000</v>
      </c>
      <c r="G60" s="66">
        <v>1000</v>
      </c>
      <c r="H60" s="66">
        <f>1337.5+385</f>
        <v>1722.5</v>
      </c>
    </row>
    <row r="61" spans="1:16" x14ac:dyDescent="0.25">
      <c r="A61" s="65">
        <v>3237</v>
      </c>
      <c r="B61" s="65" t="s">
        <v>609</v>
      </c>
      <c r="C61" s="65"/>
      <c r="D61" s="65"/>
      <c r="E61" s="65"/>
      <c r="F61" s="66">
        <f>L61+N61</f>
        <v>3000</v>
      </c>
      <c r="G61" s="66">
        <v>3000</v>
      </c>
      <c r="H61" s="66">
        <v>1951.6</v>
      </c>
      <c r="L61" s="32">
        <v>1500</v>
      </c>
      <c r="N61" s="32">
        <v>1500</v>
      </c>
    </row>
    <row r="62" spans="1:16" s="111" customFormat="1" x14ac:dyDescent="0.25">
      <c r="A62" s="153">
        <v>329</v>
      </c>
      <c r="B62" s="153" t="s">
        <v>614</v>
      </c>
      <c r="C62" s="153"/>
      <c r="D62" s="153"/>
      <c r="E62" s="153"/>
      <c r="F62" s="73">
        <f>F63+F64</f>
        <v>5200</v>
      </c>
      <c r="G62" s="73"/>
      <c r="H62" s="73"/>
      <c r="I62" s="151"/>
      <c r="J62" s="151"/>
      <c r="K62" s="151"/>
      <c r="L62" s="151"/>
      <c r="M62" s="151"/>
      <c r="N62" s="151"/>
      <c r="O62" s="151"/>
      <c r="P62" s="151"/>
    </row>
    <row r="63" spans="1:16" x14ac:dyDescent="0.25">
      <c r="A63" s="65">
        <v>3293</v>
      </c>
      <c r="B63" s="65" t="s">
        <v>615</v>
      </c>
      <c r="C63" s="65"/>
      <c r="D63" s="65"/>
      <c r="E63" s="65"/>
      <c r="F63" s="66">
        <f>J63+L63+N63</f>
        <v>5000</v>
      </c>
      <c r="G63" s="66">
        <v>5800</v>
      </c>
      <c r="H63" s="66">
        <f>4072.09+984.85</f>
        <v>5056.9400000000005</v>
      </c>
      <c r="I63" s="32" t="s">
        <v>655</v>
      </c>
      <c r="J63" s="32">
        <v>4000</v>
      </c>
      <c r="K63" s="32" t="s">
        <v>657</v>
      </c>
      <c r="L63" s="32">
        <v>500</v>
      </c>
      <c r="M63" s="32" t="s">
        <v>658</v>
      </c>
      <c r="N63" s="32">
        <v>500</v>
      </c>
    </row>
    <row r="64" spans="1:16" x14ac:dyDescent="0.25">
      <c r="A64" s="242">
        <v>3295</v>
      </c>
      <c r="B64" s="65" t="s">
        <v>656</v>
      </c>
      <c r="C64" s="242"/>
      <c r="D64" s="242"/>
      <c r="E64" s="242"/>
      <c r="F64" s="37">
        <v>200</v>
      </c>
      <c r="G64" s="37">
        <v>400</v>
      </c>
      <c r="H64" s="37">
        <f>330.62</f>
        <v>330.62</v>
      </c>
    </row>
    <row r="65" spans="1:19" x14ac:dyDescent="0.25">
      <c r="A65" s="242"/>
      <c r="B65" s="65" t="s">
        <v>808</v>
      </c>
      <c r="C65" s="242"/>
      <c r="D65" s="242"/>
      <c r="E65" s="242"/>
      <c r="F65" s="37"/>
      <c r="G65" s="37">
        <v>500</v>
      </c>
      <c r="H65" s="37">
        <v>756</v>
      </c>
    </row>
    <row r="66" spans="1:19" ht="15.75" x14ac:dyDescent="0.25">
      <c r="A66" s="81" t="s">
        <v>67</v>
      </c>
      <c r="B66" s="81"/>
      <c r="C66" s="81"/>
      <c r="D66" s="81"/>
      <c r="E66" s="81"/>
      <c r="F66" s="91">
        <f>F67+F193+F217+F516+F611+F633+F661+F726</f>
        <v>2148874</v>
      </c>
      <c r="G66" s="91"/>
      <c r="H66" s="91">
        <f t="shared" ref="H66" si="4">H67+H193+H217+H516+H611+H633+H661+H726</f>
        <v>885383.41999999993</v>
      </c>
    </row>
    <row r="67" spans="1:19" x14ac:dyDescent="0.25">
      <c r="A67" s="83" t="s">
        <v>164</v>
      </c>
      <c r="B67" s="83"/>
      <c r="C67" s="83"/>
      <c r="D67" s="83"/>
      <c r="E67" s="83"/>
      <c r="F67" s="84">
        <f>F68+F170+F179</f>
        <v>314301</v>
      </c>
      <c r="G67" s="84"/>
      <c r="H67" s="84">
        <f t="shared" ref="H67" si="5">H68+H170+H179</f>
        <v>197123.90000000002</v>
      </c>
    </row>
    <row r="68" spans="1:19" x14ac:dyDescent="0.25">
      <c r="A68" s="492" t="s">
        <v>360</v>
      </c>
      <c r="B68" s="493"/>
      <c r="C68" s="493"/>
      <c r="D68" s="493"/>
      <c r="E68" s="494"/>
      <c r="F68" s="76">
        <f>F71+F138+F146+F154</f>
        <v>287400</v>
      </c>
      <c r="G68" s="76"/>
      <c r="H68" s="76">
        <f>H71+H138+H146+H154</f>
        <v>191394.19000000003</v>
      </c>
    </row>
    <row r="69" spans="1:19" x14ac:dyDescent="0.25">
      <c r="A69" s="630" t="s">
        <v>334</v>
      </c>
      <c r="B69" s="630"/>
      <c r="C69" s="630"/>
      <c r="D69" s="630"/>
      <c r="E69" s="630"/>
      <c r="F69" s="92"/>
      <c r="G69" s="92"/>
      <c r="H69" s="66"/>
    </row>
    <row r="70" spans="1:19" x14ac:dyDescent="0.25">
      <c r="A70" s="90" t="s">
        <v>165</v>
      </c>
      <c r="B70" s="93"/>
      <c r="C70" s="93"/>
      <c r="D70" s="93"/>
      <c r="E70" s="93"/>
      <c r="F70" s="144"/>
      <c r="G70" s="144"/>
      <c r="H70" s="206"/>
    </row>
    <row r="71" spans="1:19" x14ac:dyDescent="0.25">
      <c r="A71" s="606" t="s">
        <v>166</v>
      </c>
      <c r="B71" s="606"/>
      <c r="C71" s="606"/>
      <c r="D71" s="606"/>
      <c r="E71" s="606"/>
      <c r="F71" s="144">
        <f>F73</f>
        <v>252900</v>
      </c>
      <c r="G71" s="144"/>
      <c r="H71" s="96">
        <f>H76+H78+H80+H83+H84+H87+H88+H89+H90+H91+H92+H93+H94+H95+H96+H98+H99+H100+H101+H102+H103+H104+H105+H106+H107+H108+H110+H111+H113+H115+H116+H117+H118+H122+H121+H123+H125+H126+H128+H129+H135+H130+H132+H133+H134+H112</f>
        <v>177664.29000000004</v>
      </c>
    </row>
    <row r="72" spans="1:19" x14ac:dyDescent="0.25">
      <c r="A72" s="242"/>
      <c r="B72" s="242"/>
      <c r="C72" s="242"/>
      <c r="D72" s="242"/>
      <c r="E72" s="242"/>
      <c r="F72" s="226"/>
      <c r="G72" s="226"/>
      <c r="H72" s="226"/>
    </row>
    <row r="73" spans="1:19" x14ac:dyDescent="0.25">
      <c r="A73" s="153">
        <v>3</v>
      </c>
      <c r="B73" s="153" t="s">
        <v>18</v>
      </c>
      <c r="C73" s="153"/>
      <c r="D73" s="153"/>
      <c r="E73" s="153"/>
      <c r="F73" s="73">
        <f>F74+F81+F131</f>
        <v>252900</v>
      </c>
      <c r="G73" s="73"/>
      <c r="H73" s="73"/>
    </row>
    <row r="74" spans="1:19" x14ac:dyDescent="0.25">
      <c r="A74" s="153">
        <v>31</v>
      </c>
      <c r="B74" s="153" t="s">
        <v>128</v>
      </c>
      <c r="C74" s="153"/>
      <c r="D74" s="153"/>
      <c r="E74" s="153"/>
      <c r="F74" s="73">
        <f>F75+F77+F79</f>
        <v>139487</v>
      </c>
      <c r="G74" s="73"/>
      <c r="H74" s="73"/>
    </row>
    <row r="75" spans="1:19" x14ac:dyDescent="0.25">
      <c r="A75" s="153">
        <v>311</v>
      </c>
      <c r="B75" s="153" t="s">
        <v>167</v>
      </c>
      <c r="C75" s="153"/>
      <c r="D75" s="153"/>
      <c r="E75" s="153"/>
      <c r="F75" s="73">
        <f>F76</f>
        <v>115836</v>
      </c>
      <c r="G75" s="73"/>
      <c r="H75" s="73"/>
      <c r="I75" s="32" t="s">
        <v>434</v>
      </c>
      <c r="J75" s="32" t="s">
        <v>435</v>
      </c>
      <c r="K75" s="32" t="s">
        <v>436</v>
      </c>
      <c r="L75" s="32" t="s">
        <v>437</v>
      </c>
      <c r="M75" s="32" t="s">
        <v>438</v>
      </c>
      <c r="N75" s="32" t="s">
        <v>664</v>
      </c>
    </row>
    <row r="76" spans="1:19" x14ac:dyDescent="0.25">
      <c r="A76" s="242">
        <v>3111</v>
      </c>
      <c r="B76" s="242" t="s">
        <v>302</v>
      </c>
      <c r="C76" s="242"/>
      <c r="D76" s="242"/>
      <c r="E76" s="242"/>
      <c r="F76" s="226">
        <v>115836</v>
      </c>
      <c r="G76" s="226">
        <f>I76+J76+K76+L76+M76+N76</f>
        <v>119880</v>
      </c>
      <c r="H76" s="226">
        <f>62252.41+5573.13+16601.01</f>
        <v>84426.55</v>
      </c>
      <c r="I76" s="32">
        <f>2400*12</f>
        <v>28800</v>
      </c>
      <c r="J76" s="32">
        <f>1890*12</f>
        <v>22680</v>
      </c>
      <c r="K76" s="32">
        <f>1900*12</f>
        <v>22800</v>
      </c>
      <c r="L76" s="32">
        <f>1500*12</f>
        <v>18000</v>
      </c>
      <c r="M76" s="32">
        <f>1250*12</f>
        <v>15000</v>
      </c>
      <c r="N76" s="32">
        <f>1050*12</f>
        <v>12600</v>
      </c>
    </row>
    <row r="77" spans="1:19" x14ac:dyDescent="0.25">
      <c r="A77" s="153">
        <v>312</v>
      </c>
      <c r="B77" s="153" t="s">
        <v>130</v>
      </c>
      <c r="C77" s="153"/>
      <c r="D77" s="153"/>
      <c r="E77" s="153"/>
      <c r="F77" s="73">
        <f>F78</f>
        <v>4536</v>
      </c>
      <c r="G77" s="73"/>
      <c r="H77" s="73"/>
    </row>
    <row r="78" spans="1:19" x14ac:dyDescent="0.25">
      <c r="A78" s="242">
        <v>3121</v>
      </c>
      <c r="B78" s="618" t="s">
        <v>782</v>
      </c>
      <c r="C78" s="618"/>
      <c r="D78" s="618"/>
      <c r="E78" s="618"/>
      <c r="F78" s="226">
        <f>2100+2100+336</f>
        <v>4536</v>
      </c>
      <c r="G78" s="226">
        <f>2100+2100+300</f>
        <v>4500</v>
      </c>
      <c r="H78" s="226">
        <f>2100</f>
        <v>2100</v>
      </c>
      <c r="I78" s="32" t="s">
        <v>820</v>
      </c>
      <c r="J78" s="32" t="s">
        <v>433</v>
      </c>
      <c r="M78" s="32" t="s">
        <v>653</v>
      </c>
      <c r="N78" s="32">
        <f>350*6</f>
        <v>2100</v>
      </c>
      <c r="O78" s="32" t="s">
        <v>654</v>
      </c>
      <c r="S78">
        <v>336</v>
      </c>
    </row>
    <row r="79" spans="1:19" x14ac:dyDescent="0.25">
      <c r="A79" s="153">
        <v>313</v>
      </c>
      <c r="B79" s="153" t="s">
        <v>131</v>
      </c>
      <c r="C79" s="153"/>
      <c r="D79" s="153"/>
      <c r="E79" s="153"/>
      <c r="F79" s="73">
        <f>F80</f>
        <v>19115</v>
      </c>
      <c r="G79" s="73"/>
      <c r="H79" s="73"/>
    </row>
    <row r="80" spans="1:19" x14ac:dyDescent="0.25">
      <c r="A80" s="242">
        <v>3132</v>
      </c>
      <c r="B80" s="242" t="s">
        <v>150</v>
      </c>
      <c r="C80" s="242"/>
      <c r="D80" s="242"/>
      <c r="E80" s="242"/>
      <c r="F80" s="226">
        <v>19115</v>
      </c>
      <c r="G80" s="226">
        <v>19800</v>
      </c>
      <c r="H80" s="226">
        <v>14276.6</v>
      </c>
      <c r="I80" s="32">
        <f>G76*16.5/100</f>
        <v>19780.2</v>
      </c>
    </row>
    <row r="81" spans="1:14" x14ac:dyDescent="0.25">
      <c r="A81" s="153">
        <v>32</v>
      </c>
      <c r="B81" s="153" t="s">
        <v>132</v>
      </c>
      <c r="C81" s="153"/>
      <c r="D81" s="153"/>
      <c r="E81" s="153"/>
      <c r="F81" s="73">
        <f>F82+F86+F97+F124</f>
        <v>109981</v>
      </c>
      <c r="G81" s="73"/>
      <c r="H81" s="73"/>
    </row>
    <row r="82" spans="1:14" x14ac:dyDescent="0.25">
      <c r="A82" s="153">
        <v>321</v>
      </c>
      <c r="B82" s="153" t="s">
        <v>133</v>
      </c>
      <c r="C82" s="153"/>
      <c r="D82" s="153"/>
      <c r="E82" s="153"/>
      <c r="F82" s="73">
        <f>F83+F84+F85</f>
        <v>6100</v>
      </c>
      <c r="G82" s="73"/>
      <c r="H82" s="73"/>
    </row>
    <row r="83" spans="1:14" x14ac:dyDescent="0.25">
      <c r="A83" s="242">
        <v>3214</v>
      </c>
      <c r="B83" s="242" t="s">
        <v>151</v>
      </c>
      <c r="C83" s="242"/>
      <c r="D83" s="242"/>
      <c r="E83" s="242"/>
      <c r="F83" s="226">
        <v>1000</v>
      </c>
      <c r="G83" s="226">
        <v>500</v>
      </c>
      <c r="H83" s="226"/>
    </row>
    <row r="84" spans="1:14" x14ac:dyDescent="0.25">
      <c r="A84" s="242">
        <v>3212</v>
      </c>
      <c r="B84" s="242" t="s">
        <v>169</v>
      </c>
      <c r="C84" s="242"/>
      <c r="D84" s="242"/>
      <c r="E84" s="242"/>
      <c r="F84" s="226">
        <v>4100</v>
      </c>
      <c r="G84" s="226">
        <v>2820</v>
      </c>
      <c r="H84" s="226">
        <v>2660.89</v>
      </c>
      <c r="I84" s="32" t="s">
        <v>783</v>
      </c>
      <c r="L84" s="32" t="s">
        <v>784</v>
      </c>
      <c r="N84" s="32">
        <f>5.57*23*11*2</f>
        <v>2818.42</v>
      </c>
    </row>
    <row r="85" spans="1:14" x14ac:dyDescent="0.25">
      <c r="A85" s="242">
        <v>3213</v>
      </c>
      <c r="B85" s="242" t="s">
        <v>170</v>
      </c>
      <c r="C85" s="242"/>
      <c r="D85" s="242"/>
      <c r="E85" s="242"/>
      <c r="F85" s="226">
        <v>1000</v>
      </c>
      <c r="G85" s="226">
        <v>1000</v>
      </c>
      <c r="H85" s="226"/>
    </row>
    <row r="86" spans="1:14" x14ac:dyDescent="0.25">
      <c r="A86" s="153">
        <v>322</v>
      </c>
      <c r="B86" s="153" t="s">
        <v>134</v>
      </c>
      <c r="C86" s="153"/>
      <c r="D86" s="153"/>
      <c r="E86" s="153"/>
      <c r="F86" s="73">
        <f>SUM(F87:F96)</f>
        <v>25563</v>
      </c>
      <c r="G86" s="73"/>
      <c r="H86" s="73"/>
    </row>
    <row r="87" spans="1:14" x14ac:dyDescent="0.25">
      <c r="A87" s="242">
        <v>3221</v>
      </c>
      <c r="B87" s="242" t="s">
        <v>171</v>
      </c>
      <c r="C87" s="242"/>
      <c r="D87" s="242"/>
      <c r="E87" s="242"/>
      <c r="F87" s="37">
        <v>1500</v>
      </c>
      <c r="G87" s="37">
        <v>1500</v>
      </c>
      <c r="H87" s="37">
        <v>768.87</v>
      </c>
    </row>
    <row r="88" spans="1:14" x14ac:dyDescent="0.25">
      <c r="A88" s="242">
        <v>3221</v>
      </c>
      <c r="B88" s="65" t="s">
        <v>172</v>
      </c>
      <c r="C88" s="242"/>
      <c r="D88" s="242"/>
      <c r="E88" s="242"/>
      <c r="F88" s="37">
        <v>1000</v>
      </c>
      <c r="G88" s="37">
        <v>700</v>
      </c>
      <c r="H88" s="37">
        <v>387.32</v>
      </c>
    </row>
    <row r="89" spans="1:14" x14ac:dyDescent="0.25">
      <c r="A89" s="242">
        <v>3221</v>
      </c>
      <c r="B89" s="588" t="s">
        <v>311</v>
      </c>
      <c r="C89" s="623"/>
      <c r="D89" s="623"/>
      <c r="E89" s="623"/>
      <c r="F89" s="37">
        <v>500</v>
      </c>
      <c r="G89" s="37">
        <v>400</v>
      </c>
      <c r="H89" s="37">
        <v>171.53</v>
      </c>
    </row>
    <row r="90" spans="1:14" x14ac:dyDescent="0.25">
      <c r="A90" s="242">
        <v>322</v>
      </c>
      <c r="B90" s="238" t="s">
        <v>451</v>
      </c>
      <c r="C90" s="245"/>
      <c r="D90" s="245"/>
      <c r="E90" s="245"/>
      <c r="F90" s="37">
        <v>1500</v>
      </c>
      <c r="G90" s="37">
        <v>1000</v>
      </c>
      <c r="H90" s="37">
        <v>627.73</v>
      </c>
    </row>
    <row r="91" spans="1:14" x14ac:dyDescent="0.25">
      <c r="A91" s="242">
        <v>3221</v>
      </c>
      <c r="B91" s="242" t="s">
        <v>173</v>
      </c>
      <c r="C91" s="242"/>
      <c r="D91" s="242"/>
      <c r="E91" s="242"/>
      <c r="F91" s="37">
        <v>500</v>
      </c>
      <c r="G91" s="37">
        <v>300</v>
      </c>
      <c r="H91" s="37">
        <v>98.54</v>
      </c>
    </row>
    <row r="92" spans="1:14" x14ac:dyDescent="0.25">
      <c r="A92" s="242">
        <v>3223</v>
      </c>
      <c r="B92" s="242" t="s">
        <v>174</v>
      </c>
      <c r="C92" s="242"/>
      <c r="D92" s="242"/>
      <c r="E92" s="242"/>
      <c r="F92" s="37">
        <f>10000-1000</f>
        <v>9000</v>
      </c>
      <c r="G92" s="37">
        <f>12000-1000</f>
        <v>11000</v>
      </c>
      <c r="H92" s="37">
        <v>8464.1299999999992</v>
      </c>
    </row>
    <row r="93" spans="1:14" x14ac:dyDescent="0.25">
      <c r="A93" s="242">
        <v>3223</v>
      </c>
      <c r="B93" s="65" t="s">
        <v>175</v>
      </c>
      <c r="C93" s="242"/>
      <c r="D93" s="242"/>
      <c r="E93" s="242"/>
      <c r="F93" s="37">
        <f>8000-1000</f>
        <v>7000</v>
      </c>
      <c r="G93" s="37">
        <v>7000</v>
      </c>
      <c r="H93" s="37">
        <v>3105.56</v>
      </c>
    </row>
    <row r="94" spans="1:14" x14ac:dyDescent="0.25">
      <c r="A94" s="242">
        <v>3224</v>
      </c>
      <c r="B94" s="65" t="s">
        <v>449</v>
      </c>
      <c r="C94" s="242"/>
      <c r="D94" s="242"/>
      <c r="E94" s="242"/>
      <c r="F94" s="37">
        <v>1000</v>
      </c>
      <c r="G94" s="37">
        <v>1000</v>
      </c>
      <c r="H94" s="37">
        <v>713</v>
      </c>
    </row>
    <row r="95" spans="1:14" x14ac:dyDescent="0.25">
      <c r="A95" s="242">
        <v>3225</v>
      </c>
      <c r="B95" s="242" t="s">
        <v>176</v>
      </c>
      <c r="C95" s="242"/>
      <c r="D95" s="242"/>
      <c r="E95" s="242"/>
      <c r="F95" s="37">
        <v>3000</v>
      </c>
      <c r="G95" s="37">
        <v>4000</v>
      </c>
      <c r="H95" s="37">
        <v>3841.14</v>
      </c>
    </row>
    <row r="96" spans="1:14" x14ac:dyDescent="0.25">
      <c r="A96" s="242">
        <v>3227</v>
      </c>
      <c r="B96" s="242" t="s">
        <v>177</v>
      </c>
      <c r="C96" s="242"/>
      <c r="D96" s="242"/>
      <c r="E96" s="242"/>
      <c r="F96" s="37">
        <f>600-37</f>
        <v>563</v>
      </c>
      <c r="G96" s="37">
        <v>500</v>
      </c>
      <c r="H96" s="37">
        <v>433.46</v>
      </c>
    </row>
    <row r="97" spans="1:19" x14ac:dyDescent="0.25">
      <c r="A97" s="153">
        <v>323</v>
      </c>
      <c r="B97" s="153" t="s">
        <v>135</v>
      </c>
      <c r="C97" s="153"/>
      <c r="D97" s="153"/>
      <c r="E97" s="153"/>
      <c r="F97" s="73">
        <f>SUM(F98:F123)</f>
        <v>58286</v>
      </c>
      <c r="G97" s="73"/>
      <c r="H97" s="73"/>
    </row>
    <row r="98" spans="1:19" x14ac:dyDescent="0.25">
      <c r="A98" s="242">
        <v>3231</v>
      </c>
      <c r="B98" s="65" t="s">
        <v>178</v>
      </c>
      <c r="C98" s="242"/>
      <c r="D98" s="242"/>
      <c r="E98" s="242"/>
      <c r="F98" s="37">
        <v>2034</v>
      </c>
      <c r="G98" s="37">
        <f>90+150+1920</f>
        <v>2160</v>
      </c>
      <c r="H98" s="37">
        <f>1342.25+173.34</f>
        <v>1515.59</v>
      </c>
      <c r="I98" s="32" t="s">
        <v>650</v>
      </c>
      <c r="J98" s="32">
        <f>7.5*12</f>
        <v>90</v>
      </c>
      <c r="K98" s="32" t="s">
        <v>651</v>
      </c>
      <c r="L98" s="32">
        <f>12*12</f>
        <v>144</v>
      </c>
      <c r="M98" s="32" t="s">
        <v>652</v>
      </c>
      <c r="N98" s="32">
        <f>160*12</f>
        <v>1920</v>
      </c>
    </row>
    <row r="99" spans="1:19" x14ac:dyDescent="0.25">
      <c r="A99" s="242">
        <v>3231</v>
      </c>
      <c r="B99" s="242" t="s">
        <v>179</v>
      </c>
      <c r="C99" s="242"/>
      <c r="D99" s="242"/>
      <c r="E99" s="242"/>
      <c r="F99" s="37">
        <v>1300</v>
      </c>
      <c r="G99" s="37">
        <v>1500</v>
      </c>
      <c r="H99" s="37">
        <v>949.85</v>
      </c>
      <c r="I99" s="32" t="s">
        <v>816</v>
      </c>
    </row>
    <row r="100" spans="1:19" x14ac:dyDescent="0.25">
      <c r="A100" s="242">
        <v>3231</v>
      </c>
      <c r="B100" s="242" t="s">
        <v>180</v>
      </c>
      <c r="C100" s="242"/>
      <c r="D100" s="242"/>
      <c r="E100" s="242"/>
      <c r="F100" s="226">
        <v>600</v>
      </c>
      <c r="G100" s="226">
        <v>600</v>
      </c>
      <c r="H100" s="226">
        <v>500</v>
      </c>
    </row>
    <row r="101" spans="1:19" x14ac:dyDescent="0.25">
      <c r="A101" s="65">
        <v>3234</v>
      </c>
      <c r="B101" s="65" t="s">
        <v>295</v>
      </c>
      <c r="C101" s="65"/>
      <c r="D101" s="65"/>
      <c r="E101" s="65"/>
      <c r="F101" s="226">
        <f>24*12</f>
        <v>288</v>
      </c>
      <c r="G101" s="226">
        <v>290</v>
      </c>
      <c r="H101" s="226">
        <v>209.52</v>
      </c>
      <c r="I101" s="32">
        <f>24*12</f>
        <v>288</v>
      </c>
    </row>
    <row r="102" spans="1:19" x14ac:dyDescent="0.25">
      <c r="A102" s="65">
        <v>3232</v>
      </c>
      <c r="B102" s="65" t="s">
        <v>448</v>
      </c>
      <c r="C102" s="65"/>
      <c r="D102" s="65"/>
      <c r="E102" s="65"/>
      <c r="F102" s="226">
        <v>1000</v>
      </c>
      <c r="G102" s="226">
        <v>500</v>
      </c>
      <c r="H102" s="226">
        <f>75</f>
        <v>75</v>
      </c>
    </row>
    <row r="103" spans="1:19" x14ac:dyDescent="0.25">
      <c r="A103" s="65">
        <v>3232</v>
      </c>
      <c r="B103" s="65" t="s">
        <v>413</v>
      </c>
      <c r="C103" s="65"/>
      <c r="D103" s="65"/>
      <c r="E103" s="65"/>
      <c r="F103" s="226">
        <v>5000</v>
      </c>
      <c r="G103" s="226">
        <v>8000</v>
      </c>
      <c r="H103" s="226">
        <f>2020+560+5000</f>
        <v>7580</v>
      </c>
    </row>
    <row r="104" spans="1:19" x14ac:dyDescent="0.25">
      <c r="A104" s="65">
        <v>3232</v>
      </c>
      <c r="B104" s="65" t="s">
        <v>450</v>
      </c>
      <c r="C104" s="65"/>
      <c r="D104" s="65"/>
      <c r="E104" s="65"/>
      <c r="F104" s="226">
        <f>2000+2000</f>
        <v>4000</v>
      </c>
      <c r="G104" s="226">
        <v>2000</v>
      </c>
      <c r="H104" s="226">
        <v>398.36</v>
      </c>
    </row>
    <row r="105" spans="1:19" x14ac:dyDescent="0.25">
      <c r="A105" s="242">
        <v>3233</v>
      </c>
      <c r="B105" s="65" t="s">
        <v>181</v>
      </c>
      <c r="C105" s="242"/>
      <c r="D105" s="242"/>
      <c r="E105" s="242"/>
      <c r="F105" s="226">
        <f>8000-1000</f>
        <v>7000</v>
      </c>
      <c r="G105" s="226">
        <f>2400+1000+1700+600+1400+500</f>
        <v>7600</v>
      </c>
      <c r="H105" s="226">
        <f>225+3402.93</f>
        <v>3627.93</v>
      </c>
      <c r="I105" s="32" t="s">
        <v>645</v>
      </c>
      <c r="J105" s="32">
        <f>200*12</f>
        <v>2400</v>
      </c>
      <c r="K105" s="32" t="s">
        <v>646</v>
      </c>
      <c r="L105" s="32">
        <f>2*500</f>
        <v>1000</v>
      </c>
      <c r="M105" s="32" t="s">
        <v>647</v>
      </c>
      <c r="N105" s="32">
        <f>850*2</f>
        <v>1700</v>
      </c>
      <c r="O105" s="32" t="s">
        <v>648</v>
      </c>
      <c r="P105" s="32">
        <v>600</v>
      </c>
      <c r="Q105" t="s">
        <v>649</v>
      </c>
      <c r="R105">
        <f>600+800</f>
        <v>1400</v>
      </c>
      <c r="S105" t="s">
        <v>785</v>
      </c>
    </row>
    <row r="106" spans="1:19" x14ac:dyDescent="0.25">
      <c r="A106" s="242">
        <v>3234</v>
      </c>
      <c r="B106" s="242" t="s">
        <v>182</v>
      </c>
      <c r="C106" s="242"/>
      <c r="D106" s="242"/>
      <c r="E106" s="242"/>
      <c r="F106" s="226">
        <v>600</v>
      </c>
      <c r="G106" s="226">
        <v>600</v>
      </c>
      <c r="H106" s="226">
        <v>271.64</v>
      </c>
      <c r="I106" s="32" t="s">
        <v>303</v>
      </c>
    </row>
    <row r="107" spans="1:19" x14ac:dyDescent="0.25">
      <c r="A107" s="242">
        <v>3235</v>
      </c>
      <c r="B107" s="242" t="s">
        <v>183</v>
      </c>
      <c r="C107" s="242"/>
      <c r="D107" s="242"/>
      <c r="E107" s="242"/>
      <c r="F107" s="226">
        <f>100*12</f>
        <v>1200</v>
      </c>
      <c r="G107" s="226">
        <v>1500</v>
      </c>
      <c r="H107" s="226">
        <v>812.58</v>
      </c>
      <c r="I107" s="32" t="s">
        <v>644</v>
      </c>
      <c r="J107" s="32">
        <f>120*12</f>
        <v>1440</v>
      </c>
    </row>
    <row r="108" spans="1:19" x14ac:dyDescent="0.25">
      <c r="A108" s="242">
        <v>3237</v>
      </c>
      <c r="B108" s="242" t="s">
        <v>184</v>
      </c>
      <c r="C108" s="242"/>
      <c r="D108" s="242"/>
      <c r="E108" s="242"/>
      <c r="F108" s="226">
        <v>2000</v>
      </c>
      <c r="G108" s="226">
        <v>2000</v>
      </c>
      <c r="H108" s="226">
        <v>758.46</v>
      </c>
    </row>
    <row r="109" spans="1:19" x14ac:dyDescent="0.25">
      <c r="A109" s="242">
        <v>3237</v>
      </c>
      <c r="B109" s="65" t="s">
        <v>305</v>
      </c>
      <c r="C109" s="242"/>
      <c r="D109" s="242"/>
      <c r="E109" s="242"/>
      <c r="F109" s="226">
        <v>1000</v>
      </c>
      <c r="G109" s="226">
        <v>500</v>
      </c>
      <c r="H109" s="226"/>
    </row>
    <row r="110" spans="1:19" x14ac:dyDescent="0.25">
      <c r="A110" s="242">
        <v>3237</v>
      </c>
      <c r="B110" s="242" t="s">
        <v>667</v>
      </c>
      <c r="C110" s="242"/>
      <c r="D110" s="242"/>
      <c r="E110" s="242"/>
      <c r="F110" s="226">
        <v>1000</v>
      </c>
      <c r="G110" s="226"/>
      <c r="H110" s="226"/>
    </row>
    <row r="111" spans="1:19" x14ac:dyDescent="0.25">
      <c r="A111" s="242">
        <v>3237</v>
      </c>
      <c r="B111" s="591" t="s">
        <v>185</v>
      </c>
      <c r="C111" s="632"/>
      <c r="D111" s="632"/>
      <c r="E111" s="632"/>
      <c r="F111" s="226">
        <v>3000</v>
      </c>
      <c r="G111" s="226">
        <v>3000</v>
      </c>
      <c r="H111" s="226">
        <v>1990.8</v>
      </c>
      <c r="I111" s="32">
        <f>250*12</f>
        <v>3000</v>
      </c>
    </row>
    <row r="112" spans="1:19" x14ac:dyDescent="0.25">
      <c r="A112" s="242"/>
      <c r="B112" s="239" t="s">
        <v>690</v>
      </c>
      <c r="C112" s="265"/>
      <c r="D112" s="265"/>
      <c r="E112" s="265"/>
      <c r="F112" s="226">
        <v>7000</v>
      </c>
      <c r="G112" s="226"/>
      <c r="H112" s="226">
        <v>7234.81</v>
      </c>
    </row>
    <row r="113" spans="1:21" x14ac:dyDescent="0.25">
      <c r="A113" s="242">
        <v>3237</v>
      </c>
      <c r="B113" s="242" t="s">
        <v>186</v>
      </c>
      <c r="C113" s="242"/>
      <c r="D113" s="242"/>
      <c r="E113" s="242"/>
      <c r="F113" s="226">
        <v>2000</v>
      </c>
      <c r="G113" s="226">
        <f>3000-1000</f>
        <v>2000</v>
      </c>
      <c r="H113" s="226">
        <v>1163.75</v>
      </c>
    </row>
    <row r="114" spans="1:21" x14ac:dyDescent="0.25">
      <c r="A114" s="242">
        <v>3237</v>
      </c>
      <c r="B114" s="242" t="s">
        <v>187</v>
      </c>
      <c r="C114" s="242"/>
      <c r="D114" s="242"/>
      <c r="E114" s="242"/>
      <c r="F114" s="226">
        <v>2000</v>
      </c>
      <c r="G114" s="226">
        <v>2000</v>
      </c>
      <c r="H114" s="226"/>
    </row>
    <row r="115" spans="1:21" x14ac:dyDescent="0.25">
      <c r="A115" s="242">
        <v>3238</v>
      </c>
      <c r="B115" s="242" t="s">
        <v>188</v>
      </c>
      <c r="C115" s="242"/>
      <c r="D115" s="242"/>
      <c r="E115" s="242"/>
      <c r="F115" s="226">
        <v>8000</v>
      </c>
      <c r="G115" s="226">
        <f>330+1200+2160+3400+500+200+1000</f>
        <v>8790</v>
      </c>
      <c r="H115" s="226">
        <v>8830.76</v>
      </c>
      <c r="I115" s="32" t="s">
        <v>636</v>
      </c>
      <c r="J115" s="32">
        <f>27*12</f>
        <v>324</v>
      </c>
      <c r="K115" s="32" t="s">
        <v>637</v>
      </c>
      <c r="L115" s="32">
        <f>100*12</f>
        <v>1200</v>
      </c>
      <c r="M115" s="32" t="s">
        <v>638</v>
      </c>
      <c r="N115" s="32">
        <f>180*12</f>
        <v>2160</v>
      </c>
      <c r="O115" s="32" t="s">
        <v>639</v>
      </c>
      <c r="P115" s="32">
        <f>280*12</f>
        <v>3360</v>
      </c>
      <c r="Q115" t="s">
        <v>786</v>
      </c>
      <c r="R115">
        <v>500</v>
      </c>
      <c r="S115" t="s">
        <v>640</v>
      </c>
      <c r="U115" t="s">
        <v>787</v>
      </c>
    </row>
    <row r="116" spans="1:21" x14ac:dyDescent="0.25">
      <c r="A116" s="242">
        <v>3239</v>
      </c>
      <c r="B116" s="242" t="s">
        <v>189</v>
      </c>
      <c r="C116" s="242"/>
      <c r="D116" s="242"/>
      <c r="E116" s="242"/>
      <c r="F116" s="226">
        <v>800</v>
      </c>
      <c r="G116" s="226">
        <v>5000</v>
      </c>
      <c r="H116" s="226">
        <v>14.1</v>
      </c>
      <c r="I116" s="32" t="s">
        <v>823</v>
      </c>
    </row>
    <row r="117" spans="1:21" x14ac:dyDescent="0.25">
      <c r="A117" s="65">
        <v>3239</v>
      </c>
      <c r="B117" s="65" t="s">
        <v>190</v>
      </c>
      <c r="C117" s="65"/>
      <c r="D117" s="65"/>
      <c r="E117" s="65"/>
      <c r="F117" s="226">
        <v>700</v>
      </c>
      <c r="G117" s="226">
        <v>950</v>
      </c>
      <c r="H117" s="226">
        <v>930</v>
      </c>
      <c r="I117" s="32">
        <f>470*2</f>
        <v>940</v>
      </c>
    </row>
    <row r="118" spans="1:21" x14ac:dyDescent="0.25">
      <c r="A118" s="242">
        <v>3238</v>
      </c>
      <c r="B118" s="65" t="s">
        <v>191</v>
      </c>
      <c r="C118" s="242"/>
      <c r="D118" s="242"/>
      <c r="E118" s="242"/>
      <c r="F118" s="226">
        <v>324</v>
      </c>
      <c r="G118" s="226">
        <v>360</v>
      </c>
      <c r="H118" s="226">
        <v>239.14</v>
      </c>
      <c r="I118" s="32">
        <f>30*12</f>
        <v>360</v>
      </c>
    </row>
    <row r="119" spans="1:21" x14ac:dyDescent="0.25">
      <c r="A119" s="242">
        <v>3239</v>
      </c>
      <c r="B119" s="65" t="s">
        <v>192</v>
      </c>
      <c r="C119" s="242"/>
      <c r="D119" s="242"/>
      <c r="E119" s="242"/>
      <c r="F119" s="226">
        <v>300</v>
      </c>
      <c r="G119" s="226">
        <v>300</v>
      </c>
      <c r="H119" s="226"/>
    </row>
    <row r="120" spans="1:21" x14ac:dyDescent="0.25">
      <c r="A120" s="242">
        <v>3239</v>
      </c>
      <c r="B120" s="588" t="s">
        <v>193</v>
      </c>
      <c r="C120" s="588"/>
      <c r="D120" s="588"/>
      <c r="E120" s="588"/>
      <c r="F120" s="226">
        <v>500</v>
      </c>
      <c r="G120" s="226"/>
      <c r="H120" s="226"/>
    </row>
    <row r="121" spans="1:21" x14ac:dyDescent="0.25">
      <c r="A121" s="242">
        <v>3239</v>
      </c>
      <c r="B121" s="65" t="s">
        <v>194</v>
      </c>
      <c r="C121" s="242"/>
      <c r="D121" s="242"/>
      <c r="E121" s="242"/>
      <c r="F121" s="226">
        <v>3600</v>
      </c>
      <c r="G121" s="359">
        <v>4000</v>
      </c>
      <c r="H121" s="226">
        <v>2099.7199999999998</v>
      </c>
      <c r="I121" s="32" t="s">
        <v>683</v>
      </c>
    </row>
    <row r="122" spans="1:21" x14ac:dyDescent="0.25">
      <c r="A122" s="242">
        <v>3234</v>
      </c>
      <c r="B122" s="588" t="s">
        <v>195</v>
      </c>
      <c r="C122" s="588"/>
      <c r="D122" s="588"/>
      <c r="E122" s="588"/>
      <c r="F122" s="226">
        <v>2040</v>
      </c>
      <c r="G122" s="226">
        <v>2000</v>
      </c>
      <c r="H122" s="226">
        <v>1173.96</v>
      </c>
      <c r="I122" s="32">
        <f>170*12</f>
        <v>2040</v>
      </c>
    </row>
    <row r="123" spans="1:21" x14ac:dyDescent="0.25">
      <c r="A123" s="242">
        <v>3239</v>
      </c>
      <c r="B123" s="588" t="s">
        <v>196</v>
      </c>
      <c r="C123" s="588"/>
      <c r="D123" s="588"/>
      <c r="E123" s="588"/>
      <c r="F123" s="226">
        <v>1000</v>
      </c>
      <c r="G123" s="226">
        <v>1000</v>
      </c>
      <c r="H123" s="226">
        <v>384.23</v>
      </c>
    </row>
    <row r="124" spans="1:21" x14ac:dyDescent="0.25">
      <c r="A124" s="153">
        <v>329</v>
      </c>
      <c r="B124" s="153" t="s">
        <v>152</v>
      </c>
      <c r="C124" s="153"/>
      <c r="D124" s="153"/>
      <c r="E124" s="153"/>
      <c r="F124" s="73">
        <f>F125+F126+F127+F128+F129+F130</f>
        <v>20032</v>
      </c>
      <c r="G124" s="73"/>
      <c r="H124" s="73"/>
    </row>
    <row r="125" spans="1:21" x14ac:dyDescent="0.25">
      <c r="A125" s="65">
        <v>3292</v>
      </c>
      <c r="B125" s="65" t="s">
        <v>431</v>
      </c>
      <c r="C125" s="65"/>
      <c r="D125" s="65"/>
      <c r="E125" s="65"/>
      <c r="F125" s="66">
        <f>2700+1500</f>
        <v>4200</v>
      </c>
      <c r="G125" s="66">
        <f>300+2500+250</f>
        <v>3050</v>
      </c>
      <c r="H125" s="66">
        <f>266.56+2308.26</f>
        <v>2574.8200000000002</v>
      </c>
      <c r="I125" s="32" t="s">
        <v>788</v>
      </c>
      <c r="J125" s="32" t="s">
        <v>789</v>
      </c>
      <c r="N125" s="32" t="s">
        <v>790</v>
      </c>
    </row>
    <row r="126" spans="1:21" x14ac:dyDescent="0.25">
      <c r="A126" s="242">
        <v>3293</v>
      </c>
      <c r="B126" s="242" t="s">
        <v>197</v>
      </c>
      <c r="C126" s="242"/>
      <c r="D126" s="242"/>
      <c r="E126" s="242"/>
      <c r="F126" s="66">
        <v>700</v>
      </c>
      <c r="G126" s="66">
        <v>1000</v>
      </c>
      <c r="H126" s="66">
        <v>605.63</v>
      </c>
    </row>
    <row r="127" spans="1:21" x14ac:dyDescent="0.25">
      <c r="A127" s="242">
        <v>3293</v>
      </c>
      <c r="B127" s="242" t="s">
        <v>618</v>
      </c>
      <c r="C127" s="242"/>
      <c r="D127" s="242"/>
      <c r="E127" s="242"/>
      <c r="F127" s="66">
        <v>2000</v>
      </c>
      <c r="G127" s="66">
        <v>2000</v>
      </c>
      <c r="H127" s="66"/>
    </row>
    <row r="128" spans="1:21" x14ac:dyDescent="0.25">
      <c r="A128" s="242">
        <v>3294</v>
      </c>
      <c r="B128" s="65" t="s">
        <v>198</v>
      </c>
      <c r="C128" s="242"/>
      <c r="D128" s="242"/>
      <c r="E128" s="242"/>
      <c r="F128" s="66">
        <v>12000</v>
      </c>
      <c r="G128" s="66">
        <f>12000-2000</f>
        <v>10000</v>
      </c>
      <c r="H128" s="66">
        <v>9524.2000000000007</v>
      </c>
      <c r="I128" s="32" t="s">
        <v>633</v>
      </c>
      <c r="J128" s="32">
        <f>250*4</f>
        <v>1000</v>
      </c>
      <c r="K128" s="32" t="s">
        <v>634</v>
      </c>
      <c r="L128" s="32">
        <f>800*12</f>
        <v>9600</v>
      </c>
      <c r="M128" s="32" t="s">
        <v>635</v>
      </c>
      <c r="N128" s="32">
        <f>4*120</f>
        <v>480</v>
      </c>
    </row>
    <row r="129" spans="1:13" x14ac:dyDescent="0.25">
      <c r="A129" s="242">
        <v>3295</v>
      </c>
      <c r="B129" s="65" t="s">
        <v>432</v>
      </c>
      <c r="C129" s="242"/>
      <c r="D129" s="242"/>
      <c r="E129" s="242"/>
      <c r="F129" s="66">
        <v>132</v>
      </c>
      <c r="G129" s="66">
        <v>140</v>
      </c>
      <c r="H129" s="66">
        <v>106.2</v>
      </c>
      <c r="I129" s="32">
        <f>11*12</f>
        <v>132</v>
      </c>
    </row>
    <row r="130" spans="1:13" x14ac:dyDescent="0.25">
      <c r="A130" s="242">
        <v>3295</v>
      </c>
      <c r="B130" s="242" t="s">
        <v>200</v>
      </c>
      <c r="C130" s="242"/>
      <c r="D130" s="242"/>
      <c r="E130" s="242"/>
      <c r="F130" s="66">
        <v>1000</v>
      </c>
      <c r="G130" s="66">
        <v>800</v>
      </c>
      <c r="H130" s="66">
        <f>121.62+112.12</f>
        <v>233.74</v>
      </c>
    </row>
    <row r="131" spans="1:13" x14ac:dyDescent="0.25">
      <c r="A131" s="153">
        <v>34</v>
      </c>
      <c r="B131" s="153" t="s">
        <v>136</v>
      </c>
      <c r="C131" s="153"/>
      <c r="D131" s="153"/>
      <c r="E131" s="153"/>
      <c r="F131" s="73">
        <f>F132</f>
        <v>3432</v>
      </c>
      <c r="G131" s="73"/>
      <c r="H131" s="73"/>
    </row>
    <row r="132" spans="1:13" x14ac:dyDescent="0.25">
      <c r="A132" s="153">
        <v>343</v>
      </c>
      <c r="B132" s="153" t="s">
        <v>137</v>
      </c>
      <c r="C132" s="153"/>
      <c r="D132" s="153"/>
      <c r="E132" s="153"/>
      <c r="F132" s="73">
        <f>F133+F134+F135</f>
        <v>3432</v>
      </c>
      <c r="G132" s="73"/>
      <c r="H132" s="73"/>
    </row>
    <row r="133" spans="1:13" x14ac:dyDescent="0.25">
      <c r="A133" s="242">
        <v>3431</v>
      </c>
      <c r="B133" s="242" t="s">
        <v>201</v>
      </c>
      <c r="C133" s="242"/>
      <c r="D133" s="242"/>
      <c r="E133" s="242"/>
      <c r="F133" s="66">
        <f>102+2280</f>
        <v>2382</v>
      </c>
      <c r="G133" s="362">
        <f>120+2400</f>
        <v>2520</v>
      </c>
      <c r="H133" s="66">
        <f>1717.78+66.4</f>
        <v>1784.18</v>
      </c>
      <c r="I133" s="32" t="s">
        <v>631</v>
      </c>
      <c r="J133" s="32">
        <f>10*12</f>
        <v>120</v>
      </c>
      <c r="K133" s="32" t="s">
        <v>632</v>
      </c>
      <c r="L133" s="32">
        <f>12*200</f>
        <v>2400</v>
      </c>
      <c r="M133" s="363" t="s">
        <v>838</v>
      </c>
    </row>
    <row r="134" spans="1:13" x14ac:dyDescent="0.25">
      <c r="A134" s="242">
        <v>3433</v>
      </c>
      <c r="B134" s="242" t="s">
        <v>619</v>
      </c>
      <c r="C134" s="242"/>
      <c r="D134" s="242"/>
      <c r="E134" s="242"/>
      <c r="F134" s="66">
        <v>50</v>
      </c>
      <c r="G134" s="66">
        <v>50</v>
      </c>
      <c r="H134" s="66"/>
    </row>
    <row r="135" spans="1:13" x14ac:dyDescent="0.25">
      <c r="A135" s="242">
        <v>3434</v>
      </c>
      <c r="B135" s="588" t="s">
        <v>202</v>
      </c>
      <c r="C135" s="623"/>
      <c r="D135" s="623"/>
      <c r="E135" s="623"/>
      <c r="F135" s="66">
        <v>1000</v>
      </c>
      <c r="G135" s="66">
        <v>1000</v>
      </c>
      <c r="H135" s="66"/>
      <c r="I135" s="32" t="s">
        <v>630</v>
      </c>
    </row>
    <row r="136" spans="1:13" x14ac:dyDescent="0.25">
      <c r="A136" s="242"/>
      <c r="B136" s="238"/>
      <c r="C136" s="245"/>
      <c r="D136" s="245"/>
      <c r="E136" s="245"/>
      <c r="F136" s="66"/>
      <c r="G136" s="66"/>
      <c r="H136" s="66"/>
    </row>
    <row r="137" spans="1:13" x14ac:dyDescent="0.25">
      <c r="A137" s="630" t="s">
        <v>334</v>
      </c>
      <c r="B137" s="630"/>
      <c r="C137" s="630"/>
      <c r="D137" s="630"/>
      <c r="E137" s="630"/>
      <c r="F137" s="66"/>
      <c r="G137" s="66"/>
      <c r="H137" s="66"/>
    </row>
    <row r="138" spans="1:13" x14ac:dyDescent="0.25">
      <c r="A138" s="90" t="s">
        <v>69</v>
      </c>
      <c r="B138" s="93"/>
      <c r="C138" s="93"/>
      <c r="D138" s="93"/>
      <c r="E138" s="93"/>
      <c r="F138" s="87">
        <f>F140</f>
        <v>15000</v>
      </c>
      <c r="G138" s="87"/>
      <c r="H138" s="88">
        <f>H143</f>
        <v>0</v>
      </c>
    </row>
    <row r="139" spans="1:13" x14ac:dyDescent="0.25">
      <c r="A139" s="242"/>
      <c r="B139" s="242"/>
      <c r="C139" s="242"/>
      <c r="D139" s="242"/>
      <c r="E139" s="242"/>
      <c r="F139" s="37"/>
      <c r="G139" s="37"/>
      <c r="H139" s="37"/>
    </row>
    <row r="140" spans="1:13" x14ac:dyDescent="0.25">
      <c r="A140" s="153">
        <v>4</v>
      </c>
      <c r="B140" s="153" t="s">
        <v>5</v>
      </c>
      <c r="C140" s="153"/>
      <c r="D140" s="153"/>
      <c r="E140" s="153"/>
      <c r="F140" s="73">
        <f t="shared" ref="F140:F142" si="6">F141</f>
        <v>15000</v>
      </c>
      <c r="G140" s="73"/>
      <c r="H140" s="73"/>
    </row>
    <row r="141" spans="1:13" x14ac:dyDescent="0.25">
      <c r="A141" s="153">
        <v>42</v>
      </c>
      <c r="B141" s="607" t="s">
        <v>205</v>
      </c>
      <c r="C141" s="607"/>
      <c r="D141" s="607"/>
      <c r="E141" s="607"/>
      <c r="F141" s="73">
        <f t="shared" si="6"/>
        <v>15000</v>
      </c>
      <c r="G141" s="73"/>
      <c r="H141" s="73"/>
    </row>
    <row r="142" spans="1:13" x14ac:dyDescent="0.25">
      <c r="A142" s="153">
        <v>426</v>
      </c>
      <c r="B142" s="153" t="s">
        <v>146</v>
      </c>
      <c r="C142" s="153"/>
      <c r="D142" s="153"/>
      <c r="E142" s="153"/>
      <c r="F142" s="73">
        <f t="shared" si="6"/>
        <v>15000</v>
      </c>
      <c r="G142" s="73"/>
      <c r="H142" s="73"/>
    </row>
    <row r="143" spans="1:13" x14ac:dyDescent="0.25">
      <c r="A143" s="242">
        <v>4263</v>
      </c>
      <c r="B143" s="65" t="s">
        <v>824</v>
      </c>
      <c r="C143" s="242"/>
      <c r="D143" s="242"/>
      <c r="E143" s="242"/>
      <c r="F143" s="37">
        <v>15000</v>
      </c>
      <c r="G143" s="37">
        <f>40000-10000</f>
        <v>30000</v>
      </c>
      <c r="H143" s="37"/>
    </row>
    <row r="144" spans="1:13" ht="14.25" customHeight="1" x14ac:dyDescent="0.25">
      <c r="A144" s="242"/>
      <c r="B144" s="65"/>
      <c r="C144" s="242"/>
      <c r="D144" s="242"/>
      <c r="E144" s="242"/>
      <c r="F144" s="37"/>
      <c r="G144" s="37"/>
      <c r="H144" s="37"/>
    </row>
    <row r="145" spans="1:9" hidden="1" x14ac:dyDescent="0.25">
      <c r="A145" s="630" t="s">
        <v>334</v>
      </c>
      <c r="B145" s="630"/>
      <c r="C145" s="630"/>
      <c r="D145" s="630"/>
      <c r="E145" s="630"/>
      <c r="F145" s="66"/>
      <c r="G145" s="66"/>
      <c r="H145" s="66"/>
    </row>
    <row r="146" spans="1:9" hidden="1" x14ac:dyDescent="0.25">
      <c r="A146" s="614" t="s">
        <v>478</v>
      </c>
      <c r="B146" s="614"/>
      <c r="C146" s="614"/>
      <c r="D146" s="614"/>
      <c r="E146" s="614"/>
      <c r="F146" s="87">
        <f>F148</f>
        <v>14000</v>
      </c>
      <c r="G146" s="87"/>
      <c r="H146" s="88">
        <f>H151</f>
        <v>13625</v>
      </c>
    </row>
    <row r="147" spans="1:9" hidden="1" x14ac:dyDescent="0.25">
      <c r="A147" s="242"/>
      <c r="B147" s="242"/>
      <c r="C147" s="242"/>
      <c r="D147" s="242"/>
      <c r="E147" s="242"/>
      <c r="F147" s="37"/>
      <c r="G147" s="37"/>
      <c r="H147" s="37"/>
    </row>
    <row r="148" spans="1:9" hidden="1" x14ac:dyDescent="0.25">
      <c r="A148" s="153">
        <v>3</v>
      </c>
      <c r="B148" s="153" t="s">
        <v>18</v>
      </c>
      <c r="C148" s="153"/>
      <c r="D148" s="153"/>
      <c r="E148" s="153"/>
      <c r="F148" s="73">
        <f t="shared" ref="F148:F150" si="7">F149</f>
        <v>14000</v>
      </c>
      <c r="G148" s="73"/>
      <c r="H148" s="73"/>
    </row>
    <row r="149" spans="1:9" hidden="1" x14ac:dyDescent="0.25">
      <c r="A149" s="153">
        <v>32</v>
      </c>
      <c r="B149" s="607" t="s">
        <v>460</v>
      </c>
      <c r="C149" s="607"/>
      <c r="D149" s="607"/>
      <c r="E149" s="607"/>
      <c r="F149" s="73">
        <f t="shared" si="7"/>
        <v>14000</v>
      </c>
      <c r="G149" s="73"/>
      <c r="H149" s="73"/>
    </row>
    <row r="150" spans="1:9" hidden="1" x14ac:dyDescent="0.25">
      <c r="A150" s="153">
        <v>323</v>
      </c>
      <c r="B150" s="153" t="s">
        <v>135</v>
      </c>
      <c r="C150" s="153"/>
      <c r="D150" s="153"/>
      <c r="E150" s="153"/>
      <c r="F150" s="73">
        <f t="shared" si="7"/>
        <v>14000</v>
      </c>
      <c r="G150" s="73"/>
      <c r="H150" s="73"/>
    </row>
    <row r="151" spans="1:9" hidden="1" x14ac:dyDescent="0.25">
      <c r="A151" s="242">
        <v>3232</v>
      </c>
      <c r="B151" s="65" t="s">
        <v>461</v>
      </c>
      <c r="C151" s="242"/>
      <c r="D151" s="242"/>
      <c r="E151" s="242"/>
      <c r="F151" s="37">
        <v>14000</v>
      </c>
      <c r="G151" s="37"/>
      <c r="H151" s="37">
        <v>13625</v>
      </c>
    </row>
    <row r="152" spans="1:9" hidden="1" x14ac:dyDescent="0.25">
      <c r="A152" s="242"/>
      <c r="B152" s="65"/>
      <c r="C152" s="242"/>
      <c r="D152" s="242"/>
      <c r="E152" s="242"/>
      <c r="F152" s="37"/>
      <c r="G152" s="37"/>
      <c r="H152" s="37"/>
    </row>
    <row r="153" spans="1:9" x14ac:dyDescent="0.25">
      <c r="A153" s="630" t="s">
        <v>334</v>
      </c>
      <c r="B153" s="630"/>
      <c r="C153" s="630"/>
      <c r="D153" s="630"/>
      <c r="E153" s="630"/>
      <c r="F153" s="37"/>
      <c r="G153" s="37"/>
      <c r="H153" s="37"/>
    </row>
    <row r="154" spans="1:9" x14ac:dyDescent="0.25">
      <c r="A154" s="94" t="s">
        <v>70</v>
      </c>
      <c r="B154" s="94"/>
      <c r="C154" s="94"/>
      <c r="D154" s="94"/>
      <c r="E154" s="94"/>
      <c r="F154" s="88">
        <f>F156</f>
        <v>5500</v>
      </c>
      <c r="G154" s="88"/>
      <c r="H154" s="88">
        <f>SUM(H156:H162)</f>
        <v>104.9</v>
      </c>
    </row>
    <row r="155" spans="1:9" x14ac:dyDescent="0.25">
      <c r="A155" s="153"/>
      <c r="B155" s="153"/>
      <c r="C155" s="153"/>
      <c r="D155" s="153"/>
      <c r="E155" s="153"/>
      <c r="F155" s="73"/>
      <c r="G155" s="73"/>
      <c r="H155" s="73"/>
    </row>
    <row r="156" spans="1:9" x14ac:dyDescent="0.25">
      <c r="A156" s="153">
        <v>4</v>
      </c>
      <c r="B156" s="153" t="s">
        <v>5</v>
      </c>
      <c r="C156" s="153"/>
      <c r="D156" s="153"/>
      <c r="E156" s="153"/>
      <c r="F156" s="73">
        <f>F157</f>
        <v>5500</v>
      </c>
      <c r="G156" s="73"/>
      <c r="H156" s="73"/>
    </row>
    <row r="157" spans="1:9" x14ac:dyDescent="0.25">
      <c r="A157" s="153">
        <v>42</v>
      </c>
      <c r="B157" s="607" t="s">
        <v>205</v>
      </c>
      <c r="C157" s="607"/>
      <c r="D157" s="607"/>
      <c r="E157" s="607"/>
      <c r="F157" s="73">
        <f>F158+F161</f>
        <v>5500</v>
      </c>
      <c r="G157" s="73"/>
      <c r="H157" s="73"/>
    </row>
    <row r="158" spans="1:9" x14ac:dyDescent="0.25">
      <c r="A158" s="153">
        <v>422</v>
      </c>
      <c r="B158" s="153" t="s">
        <v>145</v>
      </c>
      <c r="C158" s="153"/>
      <c r="D158" s="153"/>
      <c r="E158" s="153"/>
      <c r="F158" s="73">
        <f>F159+F160</f>
        <v>4500</v>
      </c>
      <c r="G158" s="73"/>
      <c r="H158" s="73"/>
    </row>
    <row r="159" spans="1:9" x14ac:dyDescent="0.25">
      <c r="A159" s="242">
        <v>4221</v>
      </c>
      <c r="B159" s="65" t="s">
        <v>206</v>
      </c>
      <c r="C159" s="242"/>
      <c r="D159" s="242"/>
      <c r="E159" s="69"/>
      <c r="F159" s="37">
        <f>4000-1500</f>
        <v>2500</v>
      </c>
      <c r="G159" s="37">
        <v>2000</v>
      </c>
      <c r="H159" s="37">
        <v>104.9</v>
      </c>
      <c r="I159" s="32" t="s">
        <v>763</v>
      </c>
    </row>
    <row r="160" spans="1:9" x14ac:dyDescent="0.25">
      <c r="A160" s="242">
        <v>4227</v>
      </c>
      <c r="B160" s="65" t="s">
        <v>453</v>
      </c>
      <c r="C160" s="242"/>
      <c r="D160" s="242"/>
      <c r="E160" s="65"/>
      <c r="F160" s="37">
        <v>2000</v>
      </c>
      <c r="G160" s="37"/>
      <c r="H160" s="37"/>
    </row>
    <row r="161" spans="1:9" x14ac:dyDescent="0.25">
      <c r="A161" s="153">
        <v>426</v>
      </c>
      <c r="B161" s="153" t="s">
        <v>146</v>
      </c>
      <c r="C161" s="153"/>
      <c r="D161" s="153"/>
      <c r="E161" s="153"/>
      <c r="F161" s="73">
        <f>F162</f>
        <v>1000</v>
      </c>
      <c r="G161" s="73"/>
      <c r="H161" s="73"/>
    </row>
    <row r="162" spans="1:9" x14ac:dyDescent="0.25">
      <c r="A162" s="242">
        <v>4262</v>
      </c>
      <c r="B162" s="65" t="s">
        <v>207</v>
      </c>
      <c r="C162" s="242"/>
      <c r="D162" s="242"/>
      <c r="E162" s="242"/>
      <c r="F162" s="37">
        <v>1000</v>
      </c>
      <c r="G162" s="37">
        <v>1500</v>
      </c>
      <c r="H162" s="37"/>
      <c r="I162" s="32" t="s">
        <v>817</v>
      </c>
    </row>
    <row r="163" spans="1:9" x14ac:dyDescent="0.25">
      <c r="A163" s="341"/>
      <c r="B163" s="70"/>
      <c r="C163" s="342"/>
      <c r="D163" s="343"/>
      <c r="E163" s="341"/>
      <c r="F163" s="344"/>
      <c r="G163" s="344"/>
      <c r="H163" s="345"/>
    </row>
    <row r="164" spans="1:9" x14ac:dyDescent="0.25">
      <c r="A164" s="94" t="s">
        <v>737</v>
      </c>
      <c r="B164" s="94"/>
      <c r="C164" s="94"/>
      <c r="D164" s="94"/>
      <c r="E164" s="94"/>
      <c r="F164" s="88"/>
      <c r="G164" s="88"/>
      <c r="H164" s="88"/>
    </row>
    <row r="165" spans="1:9" x14ac:dyDescent="0.25">
      <c r="A165" s="153">
        <v>4</v>
      </c>
      <c r="B165" s="153" t="s">
        <v>5</v>
      </c>
      <c r="C165" s="153"/>
      <c r="D165" s="153"/>
      <c r="E165" s="153"/>
      <c r="F165" s="344"/>
      <c r="G165" s="344"/>
      <c r="H165" s="345"/>
    </row>
    <row r="166" spans="1:9" x14ac:dyDescent="0.25">
      <c r="A166" s="153">
        <v>42</v>
      </c>
      <c r="B166" s="607" t="s">
        <v>205</v>
      </c>
      <c r="C166" s="607"/>
      <c r="D166" s="607"/>
      <c r="E166" s="607"/>
      <c r="F166" s="344"/>
      <c r="G166" s="344"/>
      <c r="H166" s="345"/>
    </row>
    <row r="167" spans="1:9" x14ac:dyDescent="0.25">
      <c r="A167" s="153">
        <v>426</v>
      </c>
      <c r="B167" s="153" t="s">
        <v>146</v>
      </c>
      <c r="C167" s="153"/>
      <c r="D167" s="153"/>
      <c r="E167" s="153"/>
      <c r="F167" s="344"/>
      <c r="G167" s="344"/>
      <c r="H167" s="345"/>
    </row>
    <row r="168" spans="1:9" x14ac:dyDescent="0.25">
      <c r="A168" s="242">
        <v>4262</v>
      </c>
      <c r="B168" s="65" t="s">
        <v>207</v>
      </c>
      <c r="C168" s="242"/>
      <c r="D168" s="242"/>
      <c r="E168" s="242"/>
      <c r="F168" s="344">
        <v>0</v>
      </c>
      <c r="G168" s="344">
        <v>90000</v>
      </c>
      <c r="H168" s="345"/>
    </row>
    <row r="169" spans="1:9" x14ac:dyDescent="0.25">
      <c r="A169" s="242"/>
      <c r="B169" s="65"/>
      <c r="C169" s="242"/>
      <c r="D169" s="242"/>
      <c r="E169" s="242"/>
      <c r="F169" s="37"/>
      <c r="G169" s="37"/>
      <c r="H169" s="37"/>
    </row>
    <row r="170" spans="1:9" x14ac:dyDescent="0.25">
      <c r="A170" s="492" t="s">
        <v>363</v>
      </c>
      <c r="B170" s="493"/>
      <c r="C170" s="493"/>
      <c r="D170" s="493"/>
      <c r="E170" s="494"/>
      <c r="F170" s="76">
        <f>F172</f>
        <v>20000</v>
      </c>
      <c r="G170" s="76"/>
      <c r="H170" s="76">
        <f t="shared" ref="H170" si="8">H172</f>
        <v>0</v>
      </c>
    </row>
    <row r="171" spans="1:9" ht="15" customHeight="1" x14ac:dyDescent="0.25">
      <c r="A171" s="246" t="s">
        <v>385</v>
      </c>
      <c r="B171" s="247"/>
      <c r="C171" s="247"/>
      <c r="D171" s="247"/>
      <c r="E171" s="146"/>
      <c r="F171" s="146"/>
      <c r="G171" s="146"/>
      <c r="H171" s="231"/>
      <c r="I171" s="223"/>
    </row>
    <row r="172" spans="1:9" x14ac:dyDescent="0.25">
      <c r="A172" s="614" t="s">
        <v>736</v>
      </c>
      <c r="B172" s="614"/>
      <c r="C172" s="614"/>
      <c r="D172" s="614"/>
      <c r="E172" s="614"/>
      <c r="F172" s="88">
        <f>F174</f>
        <v>20000</v>
      </c>
      <c r="G172" s="88"/>
      <c r="H172" s="88"/>
    </row>
    <row r="173" spans="1:9" x14ac:dyDescent="0.25">
      <c r="A173" s="248"/>
      <c r="B173" s="248"/>
      <c r="C173" s="248"/>
      <c r="D173" s="248"/>
      <c r="E173" s="248"/>
      <c r="F173" s="66"/>
      <c r="G173" s="66"/>
      <c r="H173" s="66"/>
    </row>
    <row r="174" spans="1:9" x14ac:dyDescent="0.25">
      <c r="A174" s="212">
        <v>3</v>
      </c>
      <c r="B174" s="243" t="s">
        <v>158</v>
      </c>
      <c r="C174" s="248"/>
      <c r="D174" s="248"/>
      <c r="E174" s="248"/>
      <c r="F174" s="73">
        <f>F175</f>
        <v>20000</v>
      </c>
      <c r="G174" s="73"/>
      <c r="H174" s="73"/>
    </row>
    <row r="175" spans="1:9" x14ac:dyDescent="0.25">
      <c r="A175" s="153">
        <v>36</v>
      </c>
      <c r="B175" s="607" t="s">
        <v>203</v>
      </c>
      <c r="C175" s="607"/>
      <c r="D175" s="607"/>
      <c r="E175" s="607"/>
      <c r="F175" s="73">
        <f>F176</f>
        <v>20000</v>
      </c>
      <c r="G175" s="73"/>
      <c r="H175" s="73"/>
    </row>
    <row r="176" spans="1:9" x14ac:dyDescent="0.25">
      <c r="A176" s="153">
        <v>363</v>
      </c>
      <c r="B176" s="607" t="s">
        <v>139</v>
      </c>
      <c r="C176" s="607"/>
      <c r="D176" s="607"/>
      <c r="E176" s="607"/>
      <c r="F176" s="73">
        <f>F177</f>
        <v>20000</v>
      </c>
      <c r="G176" s="73"/>
      <c r="H176" s="73"/>
    </row>
    <row r="177" spans="1:10" x14ac:dyDescent="0.25">
      <c r="A177" s="65">
        <v>3631</v>
      </c>
      <c r="B177" s="591" t="s">
        <v>204</v>
      </c>
      <c r="C177" s="591"/>
      <c r="D177" s="591"/>
      <c r="E177" s="591"/>
      <c r="F177" s="66">
        <v>20000</v>
      </c>
      <c r="G177" s="66">
        <f>22500-12500</f>
        <v>10000</v>
      </c>
      <c r="H177" s="66"/>
    </row>
    <row r="178" spans="1:10" x14ac:dyDescent="0.25">
      <c r="A178" s="242"/>
      <c r="B178" s="242"/>
      <c r="C178" s="242"/>
      <c r="D178" s="242"/>
      <c r="E178" s="242"/>
      <c r="F178" s="37"/>
      <c r="G178" s="37"/>
      <c r="H178" s="37"/>
    </row>
    <row r="179" spans="1:10" x14ac:dyDescent="0.25">
      <c r="A179" s="492" t="s">
        <v>364</v>
      </c>
      <c r="B179" s="493"/>
      <c r="C179" s="493"/>
      <c r="D179" s="493"/>
      <c r="E179" s="494"/>
      <c r="F179" s="76">
        <f>F181</f>
        <v>6901</v>
      </c>
      <c r="G179" s="76"/>
      <c r="H179" s="76">
        <f t="shared" ref="H179" si="9">H181</f>
        <v>5729.71</v>
      </c>
    </row>
    <row r="180" spans="1:10" ht="15" customHeight="1" x14ac:dyDescent="0.25">
      <c r="A180" s="246" t="s">
        <v>387</v>
      </c>
      <c r="B180" s="247"/>
      <c r="C180" s="247"/>
      <c r="D180" s="247"/>
      <c r="E180" s="146"/>
      <c r="F180" s="146"/>
      <c r="G180" s="146"/>
      <c r="H180" s="231"/>
      <c r="I180" s="223"/>
    </row>
    <row r="181" spans="1:10" x14ac:dyDescent="0.25">
      <c r="A181" s="612" t="s">
        <v>71</v>
      </c>
      <c r="B181" s="612"/>
      <c r="C181" s="612"/>
      <c r="D181" s="612"/>
      <c r="E181" s="612"/>
      <c r="F181" s="87">
        <f>F183</f>
        <v>6901</v>
      </c>
      <c r="G181" s="87"/>
      <c r="H181" s="88">
        <f>H186+H191+H188</f>
        <v>5729.71</v>
      </c>
    </row>
    <row r="182" spans="1:10" x14ac:dyDescent="0.25">
      <c r="A182" s="242"/>
      <c r="B182" s="242"/>
      <c r="C182" s="242"/>
      <c r="D182" s="242"/>
      <c r="E182" s="242"/>
      <c r="F182" s="226"/>
      <c r="G182" s="226"/>
      <c r="H182" s="226"/>
    </row>
    <row r="183" spans="1:10" x14ac:dyDescent="0.25">
      <c r="A183" s="153">
        <v>3</v>
      </c>
      <c r="B183" s="153" t="s">
        <v>158</v>
      </c>
      <c r="C183" s="153"/>
      <c r="D183" s="153"/>
      <c r="E183" s="153"/>
      <c r="F183" s="73">
        <f>F184+F189</f>
        <v>6901</v>
      </c>
      <c r="G183" s="73"/>
      <c r="H183" s="73"/>
    </row>
    <row r="184" spans="1:10" x14ac:dyDescent="0.25">
      <c r="A184" s="153">
        <v>31</v>
      </c>
      <c r="B184" s="153" t="s">
        <v>208</v>
      </c>
      <c r="C184" s="153"/>
      <c r="D184" s="153"/>
      <c r="E184" s="153"/>
      <c r="F184" s="73">
        <f>F185+F187</f>
        <v>6781</v>
      </c>
      <c r="G184" s="73"/>
      <c r="H184" s="73"/>
      <c r="I184" s="32" t="s">
        <v>772</v>
      </c>
    </row>
    <row r="185" spans="1:10" x14ac:dyDescent="0.25">
      <c r="A185" s="153">
        <v>311</v>
      </c>
      <c r="B185" s="153" t="s">
        <v>167</v>
      </c>
      <c r="C185" s="153"/>
      <c r="D185" s="153"/>
      <c r="E185" s="153"/>
      <c r="F185" s="73">
        <f>F186</f>
        <v>5820</v>
      </c>
      <c r="G185" s="73"/>
      <c r="H185" s="73"/>
    </row>
    <row r="186" spans="1:10" x14ac:dyDescent="0.25">
      <c r="A186" s="242">
        <v>3111</v>
      </c>
      <c r="B186" s="65" t="s">
        <v>209</v>
      </c>
      <c r="C186" s="242"/>
      <c r="D186" s="242"/>
      <c r="E186" s="242"/>
      <c r="F186" s="227">
        <v>5820</v>
      </c>
      <c r="G186" s="66">
        <f>6300+6300</f>
        <v>12600</v>
      </c>
      <c r="H186" s="66">
        <f>3792.78+198.19+841.4</f>
        <v>4832.37</v>
      </c>
      <c r="I186" s="32">
        <f>1050*6</f>
        <v>6300</v>
      </c>
    </row>
    <row r="187" spans="1:10" x14ac:dyDescent="0.25">
      <c r="A187" s="153">
        <v>313</v>
      </c>
      <c r="B187" s="153" t="s">
        <v>131</v>
      </c>
      <c r="C187" s="153"/>
      <c r="D187" s="153"/>
      <c r="E187" s="153"/>
      <c r="F187" s="228">
        <f>F188</f>
        <v>961</v>
      </c>
      <c r="G187" s="73"/>
      <c r="H187" s="73"/>
    </row>
    <row r="188" spans="1:10" x14ac:dyDescent="0.25">
      <c r="A188" s="242">
        <v>3132</v>
      </c>
      <c r="B188" s="242" t="s">
        <v>150</v>
      </c>
      <c r="C188" s="242"/>
      <c r="D188" s="242"/>
      <c r="E188" s="242"/>
      <c r="F188" s="229">
        <v>961</v>
      </c>
      <c r="G188" s="226">
        <f>2079</f>
        <v>2079</v>
      </c>
      <c r="H188" s="226">
        <v>797.34</v>
      </c>
      <c r="I188" s="32">
        <f>I186*16.5/100</f>
        <v>1039.5</v>
      </c>
    </row>
    <row r="189" spans="1:10" x14ac:dyDescent="0.25">
      <c r="A189" s="249">
        <v>32</v>
      </c>
      <c r="B189" s="153" t="s">
        <v>132</v>
      </c>
      <c r="C189" s="242"/>
      <c r="D189" s="242"/>
      <c r="E189" s="242"/>
      <c r="F189" s="230">
        <f>F190</f>
        <v>120</v>
      </c>
      <c r="G189" s="250"/>
      <c r="H189" s="250"/>
    </row>
    <row r="190" spans="1:10" x14ac:dyDescent="0.25">
      <c r="A190" s="249">
        <v>321</v>
      </c>
      <c r="B190" s="153" t="s">
        <v>133</v>
      </c>
      <c r="C190" s="242"/>
      <c r="D190" s="242"/>
      <c r="E190" s="242"/>
      <c r="F190" s="230">
        <f>F191</f>
        <v>120</v>
      </c>
      <c r="G190" s="250"/>
      <c r="H190" s="250"/>
    </row>
    <row r="191" spans="1:10" x14ac:dyDescent="0.25">
      <c r="A191" s="242">
        <v>3212</v>
      </c>
      <c r="B191" s="65" t="s">
        <v>414</v>
      </c>
      <c r="C191" s="242"/>
      <c r="D191" s="242"/>
      <c r="E191" s="242"/>
      <c r="F191" s="37">
        <v>120</v>
      </c>
      <c r="G191" s="37">
        <v>240</v>
      </c>
      <c r="H191" s="37">
        <v>100</v>
      </c>
      <c r="I191" s="32">
        <f>40*6</f>
        <v>240</v>
      </c>
      <c r="J191" s="32" t="s">
        <v>773</v>
      </c>
    </row>
    <row r="192" spans="1:10" x14ac:dyDescent="0.25">
      <c r="A192" s="242"/>
      <c r="B192" s="65"/>
      <c r="C192" s="242"/>
      <c r="D192" s="242"/>
      <c r="E192" s="242"/>
      <c r="F192" s="37"/>
      <c r="G192" s="37"/>
      <c r="H192" s="37"/>
    </row>
    <row r="193" spans="1:11" x14ac:dyDescent="0.25">
      <c r="A193" s="83" t="s">
        <v>210</v>
      </c>
      <c r="B193" s="83"/>
      <c r="C193" s="83"/>
      <c r="D193" s="83"/>
      <c r="E193" s="83"/>
      <c r="F193" s="95">
        <f>F194+F207</f>
        <v>24192</v>
      </c>
      <c r="G193" s="95"/>
      <c r="H193" s="95">
        <f t="shared" ref="H193" si="10">H194+H207</f>
        <v>4579.6499999999996</v>
      </c>
    </row>
    <row r="194" spans="1:11" x14ac:dyDescent="0.25">
      <c r="A194" s="289" t="s">
        <v>365</v>
      </c>
      <c r="B194" s="289"/>
      <c r="C194" s="289"/>
      <c r="D194" s="289"/>
      <c r="E194" s="75"/>
      <c r="F194" s="76">
        <f>F197</f>
        <v>19192</v>
      </c>
      <c r="G194" s="76"/>
      <c r="H194" s="76">
        <f t="shared" ref="H194" si="11">H197</f>
        <v>4579.6499999999996</v>
      </c>
    </row>
    <row r="195" spans="1:11" x14ac:dyDescent="0.25">
      <c r="A195" s="89" t="s">
        <v>335</v>
      </c>
      <c r="B195" s="89"/>
      <c r="C195" s="89"/>
      <c r="D195" s="89"/>
      <c r="E195" s="89"/>
      <c r="F195" s="92"/>
      <c r="G195" s="92"/>
      <c r="H195" s="66"/>
    </row>
    <row r="196" spans="1:11" x14ac:dyDescent="0.25">
      <c r="A196" s="90" t="s">
        <v>92</v>
      </c>
      <c r="B196" s="90"/>
      <c r="C196" s="90"/>
      <c r="D196" s="90"/>
      <c r="E196" s="90"/>
      <c r="F196" s="144"/>
      <c r="G196" s="144"/>
      <c r="H196" s="206"/>
    </row>
    <row r="197" spans="1:11" x14ac:dyDescent="0.25">
      <c r="A197" s="606" t="s">
        <v>73</v>
      </c>
      <c r="B197" s="606"/>
      <c r="C197" s="606"/>
      <c r="D197" s="606"/>
      <c r="E197" s="606"/>
      <c r="F197" s="144">
        <f>F199</f>
        <v>19192</v>
      </c>
      <c r="G197" s="144"/>
      <c r="H197" s="96">
        <f>H202+H205</f>
        <v>4579.6499999999996</v>
      </c>
    </row>
    <row r="198" spans="1:11" x14ac:dyDescent="0.25">
      <c r="A198" s="241"/>
      <c r="B198" s="241"/>
      <c r="C198" s="241"/>
      <c r="D198" s="241"/>
      <c r="E198" s="241"/>
      <c r="F198" s="37"/>
      <c r="G198" s="37"/>
      <c r="H198" s="37"/>
    </row>
    <row r="199" spans="1:11" x14ac:dyDescent="0.25">
      <c r="A199" s="153">
        <v>3</v>
      </c>
      <c r="B199" s="153" t="s">
        <v>18</v>
      </c>
      <c r="C199" s="153"/>
      <c r="D199" s="153"/>
      <c r="E199" s="153"/>
      <c r="F199" s="73">
        <f>F200+F203</f>
        <v>19192</v>
      </c>
      <c r="G199" s="73"/>
      <c r="H199" s="73"/>
    </row>
    <row r="200" spans="1:11" x14ac:dyDescent="0.25">
      <c r="A200" s="153">
        <v>35</v>
      </c>
      <c r="B200" s="153" t="s">
        <v>138</v>
      </c>
      <c r="C200" s="153"/>
      <c r="D200" s="153"/>
      <c r="E200" s="153"/>
      <c r="F200" s="73">
        <f>F201</f>
        <v>16000</v>
      </c>
      <c r="G200" s="73"/>
      <c r="H200" s="73"/>
    </row>
    <row r="201" spans="1:11" x14ac:dyDescent="0.25">
      <c r="A201" s="153">
        <v>352</v>
      </c>
      <c r="B201" s="153" t="s">
        <v>211</v>
      </c>
      <c r="C201" s="153"/>
      <c r="D201" s="153"/>
      <c r="E201" s="153"/>
      <c r="F201" s="73">
        <f>F202</f>
        <v>16000</v>
      </c>
      <c r="G201" s="73"/>
      <c r="H201" s="73"/>
    </row>
    <row r="202" spans="1:11" x14ac:dyDescent="0.25">
      <c r="A202" s="242">
        <v>3523</v>
      </c>
      <c r="B202" s="242" t="s">
        <v>212</v>
      </c>
      <c r="C202" s="242"/>
      <c r="D202" s="242"/>
      <c r="E202" s="242"/>
      <c r="F202" s="66">
        <v>16000</v>
      </c>
      <c r="G202" s="66">
        <v>20000</v>
      </c>
      <c r="H202" s="66">
        <f>35.15+1715+175</f>
        <v>1925.15</v>
      </c>
      <c r="I202" s="32" t="s">
        <v>791</v>
      </c>
      <c r="J202" s="32" t="s">
        <v>792</v>
      </c>
      <c r="K202" s="32" t="s">
        <v>793</v>
      </c>
    </row>
    <row r="203" spans="1:11" x14ac:dyDescent="0.25">
      <c r="A203" s="153">
        <v>36</v>
      </c>
      <c r="B203" s="153" t="s">
        <v>213</v>
      </c>
      <c r="C203" s="153"/>
      <c r="D203" s="153"/>
      <c r="E203" s="153"/>
      <c r="F203" s="73">
        <f>F204</f>
        <v>3192</v>
      </c>
      <c r="G203" s="73"/>
      <c r="H203" s="73"/>
    </row>
    <row r="204" spans="1:11" x14ac:dyDescent="0.25">
      <c r="A204" s="153">
        <v>363</v>
      </c>
      <c r="B204" s="153" t="s">
        <v>213</v>
      </c>
      <c r="C204" s="153"/>
      <c r="D204" s="153"/>
      <c r="E204" s="153"/>
      <c r="F204" s="73">
        <f>F205</f>
        <v>3192</v>
      </c>
      <c r="G204" s="73"/>
      <c r="H204" s="73"/>
    </row>
    <row r="205" spans="1:11" x14ac:dyDescent="0.25">
      <c r="A205" s="242">
        <v>3631</v>
      </c>
      <c r="B205" s="65" t="s">
        <v>214</v>
      </c>
      <c r="C205" s="242"/>
      <c r="D205" s="242"/>
      <c r="E205" s="242"/>
      <c r="F205" s="66">
        <f>266*12</f>
        <v>3192</v>
      </c>
      <c r="G205" s="66">
        <f>270*12</f>
        <v>3240</v>
      </c>
      <c r="H205" s="66">
        <v>2654.5</v>
      </c>
      <c r="I205" s="32" t="s">
        <v>430</v>
      </c>
    </row>
    <row r="206" spans="1:11" x14ac:dyDescent="0.25">
      <c r="A206" s="242"/>
      <c r="B206" s="65"/>
      <c r="C206" s="242"/>
      <c r="D206" s="242"/>
      <c r="E206" s="242"/>
      <c r="F206" s="66"/>
      <c r="G206" s="66"/>
      <c r="H206" s="66"/>
    </row>
    <row r="207" spans="1:11" x14ac:dyDescent="0.25">
      <c r="A207" s="355" t="s">
        <v>366</v>
      </c>
      <c r="B207" s="356"/>
      <c r="C207" s="356"/>
      <c r="D207" s="356"/>
      <c r="E207" s="75"/>
      <c r="F207" s="76">
        <f>F209</f>
        <v>5000</v>
      </c>
      <c r="G207" s="76"/>
      <c r="H207" s="76">
        <f t="shared" ref="H207" si="12">H209</f>
        <v>0</v>
      </c>
    </row>
    <row r="208" spans="1:11" x14ac:dyDescent="0.25">
      <c r="A208" s="89" t="s">
        <v>336</v>
      </c>
      <c r="B208" s="89"/>
      <c r="C208" s="89"/>
      <c r="D208" s="89"/>
      <c r="E208" s="89"/>
      <c r="F208" s="92"/>
      <c r="G208" s="92"/>
      <c r="H208" s="66"/>
    </row>
    <row r="209" spans="1:12" x14ac:dyDescent="0.25">
      <c r="A209" s="90" t="s">
        <v>93</v>
      </c>
      <c r="B209" s="90"/>
      <c r="C209" s="90"/>
      <c r="D209" s="90"/>
      <c r="E209" s="90"/>
      <c r="F209" s="87">
        <f>F211</f>
        <v>5000</v>
      </c>
      <c r="G209" s="87"/>
      <c r="H209" s="88"/>
    </row>
    <row r="210" spans="1:12" x14ac:dyDescent="0.25">
      <c r="A210" s="65"/>
      <c r="B210" s="65"/>
      <c r="C210" s="242"/>
      <c r="D210" s="242"/>
      <c r="E210" s="242"/>
      <c r="F210" s="66"/>
      <c r="G210" s="66"/>
      <c r="H210" s="66"/>
    </row>
    <row r="211" spans="1:12" x14ac:dyDescent="0.25">
      <c r="A211" s="153">
        <v>3</v>
      </c>
      <c r="B211" s="153" t="s">
        <v>18</v>
      </c>
      <c r="C211" s="153"/>
      <c r="D211" s="153"/>
      <c r="E211" s="153"/>
      <c r="F211" s="73">
        <f t="shared" ref="F211:F213" si="13">F212</f>
        <v>5000</v>
      </c>
      <c r="G211" s="73"/>
      <c r="H211" s="73"/>
    </row>
    <row r="212" spans="1:12" x14ac:dyDescent="0.25">
      <c r="A212" s="153">
        <v>35</v>
      </c>
      <c r="B212" s="153" t="s">
        <v>138</v>
      </c>
      <c r="C212" s="153"/>
      <c r="D212" s="153"/>
      <c r="E212" s="153"/>
      <c r="F212" s="73">
        <f t="shared" si="13"/>
        <v>5000</v>
      </c>
      <c r="G212" s="73"/>
      <c r="H212" s="73"/>
    </row>
    <row r="213" spans="1:12" x14ac:dyDescent="0.25">
      <c r="A213" s="153">
        <v>352</v>
      </c>
      <c r="B213" s="153" t="s">
        <v>215</v>
      </c>
      <c r="C213" s="153"/>
      <c r="D213" s="153"/>
      <c r="E213" s="153"/>
      <c r="F213" s="73">
        <f t="shared" si="13"/>
        <v>5000</v>
      </c>
      <c r="G213" s="73"/>
      <c r="H213" s="73"/>
    </row>
    <row r="214" spans="1:12" x14ac:dyDescent="0.25">
      <c r="A214" s="242">
        <v>3523</v>
      </c>
      <c r="B214" s="65" t="s">
        <v>345</v>
      </c>
      <c r="C214" s="242"/>
      <c r="D214" s="242"/>
      <c r="E214" s="242"/>
      <c r="F214" s="66">
        <v>5000</v>
      </c>
      <c r="G214" s="66">
        <v>5000</v>
      </c>
      <c r="H214" s="66"/>
    </row>
    <row r="215" spans="1:12" x14ac:dyDescent="0.25">
      <c r="A215" s="242"/>
      <c r="B215" s="65"/>
      <c r="C215" s="242"/>
      <c r="D215" s="242"/>
      <c r="E215" s="242"/>
      <c r="F215" s="231"/>
      <c r="G215" s="231"/>
      <c r="H215" s="231"/>
    </row>
    <row r="216" spans="1:12" x14ac:dyDescent="0.25">
      <c r="A216" s="83" t="s">
        <v>216</v>
      </c>
      <c r="B216" s="83"/>
      <c r="C216" s="83"/>
      <c r="D216" s="83"/>
      <c r="E216" s="83"/>
      <c r="F216" s="193"/>
      <c r="G216" s="193"/>
      <c r="H216" s="251"/>
    </row>
    <row r="217" spans="1:12" x14ac:dyDescent="0.25">
      <c r="A217" s="613" t="s">
        <v>217</v>
      </c>
      <c r="B217" s="613"/>
      <c r="C217" s="613"/>
      <c r="D217" s="613"/>
      <c r="E217" s="613"/>
      <c r="F217" s="193">
        <f>F218+F292+F382+F392+F432+F448+F498</f>
        <v>1146940</v>
      </c>
      <c r="G217" s="193"/>
      <c r="H217" s="193">
        <f t="shared" ref="H217" si="14">H218+H292+H382+H392+H432+H448+H498</f>
        <v>241545.80999999997</v>
      </c>
    </row>
    <row r="218" spans="1:12" x14ac:dyDescent="0.25">
      <c r="A218" s="492" t="s">
        <v>507</v>
      </c>
      <c r="B218" s="493"/>
      <c r="C218" s="493"/>
      <c r="D218" s="493"/>
      <c r="E218" s="494"/>
      <c r="F218" s="76">
        <f>F221+F229+F237+F252+F262+F273+F283</f>
        <v>123700</v>
      </c>
      <c r="G218" s="76"/>
      <c r="H218" s="76">
        <f>H221+H229+H237+H252+H262+H273+H283</f>
        <v>51666.68</v>
      </c>
    </row>
    <row r="219" spans="1:12" ht="15" customHeight="1" x14ac:dyDescent="0.25">
      <c r="A219" s="246" t="s">
        <v>386</v>
      </c>
      <c r="B219" s="247"/>
      <c r="C219" s="247"/>
      <c r="D219" s="247"/>
      <c r="E219" s="146"/>
      <c r="F219" s="146"/>
      <c r="G219" s="146"/>
      <c r="H219" s="231"/>
      <c r="I219" s="223"/>
    </row>
    <row r="220" spans="1:12" x14ac:dyDescent="0.25">
      <c r="A220" s="90" t="s">
        <v>337</v>
      </c>
      <c r="B220" s="90"/>
      <c r="C220" s="90"/>
      <c r="D220" s="90"/>
      <c r="E220" s="90"/>
      <c r="F220" s="144"/>
      <c r="G220" s="144"/>
      <c r="H220" s="206"/>
    </row>
    <row r="221" spans="1:12" x14ac:dyDescent="0.25">
      <c r="A221" s="606"/>
      <c r="B221" s="606"/>
      <c r="C221" s="606"/>
      <c r="D221" s="606"/>
      <c r="E221" s="606"/>
      <c r="F221" s="144">
        <f>F223</f>
        <v>74000</v>
      </c>
      <c r="G221" s="144"/>
      <c r="H221" s="96">
        <f>H226</f>
        <v>16772.04</v>
      </c>
      <c r="K221" s="32" t="s">
        <v>668</v>
      </c>
    </row>
    <row r="222" spans="1:12" x14ac:dyDescent="0.25">
      <c r="A222" s="242"/>
      <c r="B222" s="242"/>
      <c r="C222" s="242"/>
      <c r="D222" s="242"/>
      <c r="E222" s="242"/>
      <c r="F222" s="37"/>
      <c r="G222" s="37"/>
      <c r="H222" s="37"/>
      <c r="K222" t="s">
        <v>828</v>
      </c>
    </row>
    <row r="223" spans="1:12" x14ac:dyDescent="0.25">
      <c r="A223" s="153">
        <v>3</v>
      </c>
      <c r="B223" s="153" t="s">
        <v>158</v>
      </c>
      <c r="C223" s="153"/>
      <c r="D223" s="153"/>
      <c r="E223" s="153"/>
      <c r="F223" s="73">
        <f>F224</f>
        <v>74000</v>
      </c>
      <c r="G223" s="73"/>
      <c r="H223" s="73"/>
      <c r="K223" t="s">
        <v>827</v>
      </c>
      <c r="L223" s="32">
        <v>3000</v>
      </c>
    </row>
    <row r="224" spans="1:12" x14ac:dyDescent="0.25">
      <c r="A224" s="153">
        <v>32</v>
      </c>
      <c r="B224" s="153" t="s">
        <v>132</v>
      </c>
      <c r="C224" s="153"/>
      <c r="D224" s="153"/>
      <c r="E224" s="153"/>
      <c r="F224" s="73">
        <f>F225</f>
        <v>74000</v>
      </c>
      <c r="G224" s="73"/>
      <c r="H224" s="73"/>
      <c r="K224" t="s">
        <v>826</v>
      </c>
      <c r="L224" s="32">
        <v>3000</v>
      </c>
    </row>
    <row r="225" spans="1:13" x14ac:dyDescent="0.25">
      <c r="A225" s="153">
        <v>323</v>
      </c>
      <c r="B225" s="153" t="s">
        <v>135</v>
      </c>
      <c r="C225" s="153"/>
      <c r="D225" s="153"/>
      <c r="E225" s="153"/>
      <c r="F225" s="73">
        <f>F226</f>
        <v>74000</v>
      </c>
      <c r="G225" s="73"/>
      <c r="H225" s="73"/>
      <c r="K225" t="s">
        <v>691</v>
      </c>
    </row>
    <row r="226" spans="1:13" x14ac:dyDescent="0.25">
      <c r="A226" s="69">
        <v>3232</v>
      </c>
      <c r="B226" s="611" t="s">
        <v>338</v>
      </c>
      <c r="C226" s="611"/>
      <c r="D226" s="611"/>
      <c r="E226" s="611"/>
      <c r="F226" s="202">
        <f>15000+3000+3000+50000+40000+3000-40000</f>
        <v>74000</v>
      </c>
      <c r="G226" s="202">
        <v>27000</v>
      </c>
      <c r="H226" s="202">
        <f>1562.5+15209.54</f>
        <v>16772.04</v>
      </c>
      <c r="K226" t="s">
        <v>825</v>
      </c>
    </row>
    <row r="227" spans="1:13" x14ac:dyDescent="0.25">
      <c r="A227" s="69"/>
      <c r="B227" s="252"/>
      <c r="C227" s="252"/>
      <c r="D227" s="252"/>
      <c r="E227" s="252"/>
      <c r="F227" s="202"/>
      <c r="G227" s="202"/>
      <c r="H227" s="202"/>
      <c r="K227" t="s">
        <v>415</v>
      </c>
    </row>
    <row r="228" spans="1:13" ht="15" customHeight="1" x14ac:dyDescent="0.25">
      <c r="A228" s="246" t="s">
        <v>395</v>
      </c>
      <c r="B228" s="247"/>
      <c r="C228" s="247"/>
      <c r="D228" s="247"/>
      <c r="E228" s="146"/>
      <c r="F228" s="146"/>
      <c r="G228" s="146"/>
      <c r="H228" s="231"/>
      <c r="I228" s="223"/>
      <c r="K228" t="s">
        <v>829</v>
      </c>
      <c r="M228" s="32">
        <v>4000</v>
      </c>
    </row>
    <row r="229" spans="1:13" x14ac:dyDescent="0.25">
      <c r="A229" s="94" t="s">
        <v>339</v>
      </c>
      <c r="B229" s="266"/>
      <c r="C229" s="266"/>
      <c r="D229" s="266"/>
      <c r="E229" s="266"/>
      <c r="F229" s="96">
        <f>F231</f>
        <v>3000</v>
      </c>
      <c r="G229" s="96"/>
      <c r="H229" s="232">
        <f>H234</f>
        <v>500</v>
      </c>
      <c r="L229" s="61"/>
      <c r="M229" s="61"/>
    </row>
    <row r="230" spans="1:13" x14ac:dyDescent="0.25">
      <c r="A230" s="65"/>
      <c r="B230" s="244"/>
      <c r="C230" s="244"/>
      <c r="D230" s="244"/>
      <c r="E230" s="244"/>
      <c r="F230" s="202"/>
      <c r="G230" s="202"/>
      <c r="H230" s="202"/>
      <c r="L230" s="61"/>
      <c r="M230" s="61"/>
    </row>
    <row r="231" spans="1:13" x14ac:dyDescent="0.25">
      <c r="A231" s="153">
        <v>3</v>
      </c>
      <c r="B231" s="153" t="s">
        <v>158</v>
      </c>
      <c r="C231" s="153"/>
      <c r="D231" s="153"/>
      <c r="E231" s="244"/>
      <c r="F231" s="206">
        <f t="shared" ref="F231:F233" si="15">F232</f>
        <v>3000</v>
      </c>
      <c r="G231" s="206"/>
      <c r="H231" s="206"/>
    </row>
    <row r="232" spans="1:13" x14ac:dyDescent="0.25">
      <c r="A232" s="153">
        <v>32</v>
      </c>
      <c r="B232" s="153" t="s">
        <v>132</v>
      </c>
      <c r="C232" s="153"/>
      <c r="D232" s="153"/>
      <c r="E232" s="244"/>
      <c r="F232" s="206">
        <f t="shared" si="15"/>
        <v>3000</v>
      </c>
      <c r="G232" s="206"/>
      <c r="H232" s="206"/>
    </row>
    <row r="233" spans="1:13" x14ac:dyDescent="0.25">
      <c r="A233" s="153">
        <v>323</v>
      </c>
      <c r="B233" s="153" t="s">
        <v>135</v>
      </c>
      <c r="C233" s="153"/>
      <c r="D233" s="153"/>
      <c r="E233" s="252"/>
      <c r="F233" s="206">
        <f t="shared" si="15"/>
        <v>3000</v>
      </c>
      <c r="G233" s="206"/>
      <c r="H233" s="206"/>
    </row>
    <row r="234" spans="1:13" x14ac:dyDescent="0.25">
      <c r="A234" s="69" t="s">
        <v>475</v>
      </c>
      <c r="B234" s="252"/>
      <c r="C234" s="252"/>
      <c r="D234" s="252"/>
      <c r="E234" s="252"/>
      <c r="F234" s="202">
        <v>3000</v>
      </c>
      <c r="G234" s="202">
        <v>3000</v>
      </c>
      <c r="H234" s="202">
        <v>500</v>
      </c>
    </row>
    <row r="235" spans="1:13" x14ac:dyDescent="0.25">
      <c r="A235" s="69"/>
      <c r="B235" s="252"/>
      <c r="C235" s="252"/>
      <c r="D235" s="252"/>
      <c r="E235" s="252"/>
      <c r="F235" s="202"/>
      <c r="G235" s="202"/>
      <c r="H235" s="202"/>
    </row>
    <row r="236" spans="1:13" ht="15" customHeight="1" x14ac:dyDescent="0.25">
      <c r="A236" s="246" t="s">
        <v>386</v>
      </c>
      <c r="B236" s="247"/>
      <c r="C236" s="247"/>
      <c r="D236" s="247"/>
      <c r="E236" s="146"/>
      <c r="F236" s="146"/>
      <c r="G236" s="146"/>
      <c r="H236" s="231"/>
      <c r="I236" s="223"/>
    </row>
    <row r="237" spans="1:13" x14ac:dyDescent="0.25">
      <c r="A237" s="94" t="s">
        <v>429</v>
      </c>
      <c r="B237" s="266"/>
      <c r="C237" s="266"/>
      <c r="D237" s="266"/>
      <c r="E237" s="266"/>
      <c r="F237" s="96">
        <f>F239</f>
        <v>22000</v>
      </c>
      <c r="G237" s="96"/>
      <c r="H237" s="96">
        <f>SUM(H239:H249)</f>
        <v>16190.21</v>
      </c>
    </row>
    <row r="238" spans="1:13" x14ac:dyDescent="0.25">
      <c r="A238" s="65"/>
      <c r="B238" s="244"/>
      <c r="C238" s="244"/>
      <c r="D238" s="244"/>
      <c r="E238" s="244"/>
      <c r="F238" s="202"/>
      <c r="G238" s="202"/>
      <c r="H238" s="202"/>
    </row>
    <row r="239" spans="1:13" x14ac:dyDescent="0.25">
      <c r="A239" s="153">
        <v>3</v>
      </c>
      <c r="B239" s="153" t="s">
        <v>158</v>
      </c>
      <c r="C239" s="244"/>
      <c r="D239" s="244"/>
      <c r="E239" s="244"/>
      <c r="F239" s="206">
        <f>F240</f>
        <v>22000</v>
      </c>
      <c r="G239" s="206"/>
      <c r="H239" s="206"/>
    </row>
    <row r="240" spans="1:13" x14ac:dyDescent="0.25">
      <c r="A240" s="153">
        <v>32</v>
      </c>
      <c r="B240" s="608" t="s">
        <v>132</v>
      </c>
      <c r="C240" s="608"/>
      <c r="D240" s="608"/>
      <c r="E240" s="608"/>
      <c r="F240" s="206">
        <f>F241+F246</f>
        <v>22000</v>
      </c>
      <c r="G240" s="206"/>
      <c r="H240" s="206"/>
    </row>
    <row r="241" spans="1:9" x14ac:dyDescent="0.25">
      <c r="A241" s="153">
        <v>322</v>
      </c>
      <c r="B241" s="243" t="s">
        <v>220</v>
      </c>
      <c r="C241" s="244"/>
      <c r="D241" s="244"/>
      <c r="E241" s="244"/>
      <c r="F241" s="206">
        <f>F242+F243+F244+F245</f>
        <v>14500</v>
      </c>
      <c r="G241" s="206"/>
      <c r="H241" s="206"/>
    </row>
    <row r="242" spans="1:9" x14ac:dyDescent="0.25">
      <c r="A242" s="69" t="s">
        <v>471</v>
      </c>
      <c r="B242" s="252"/>
      <c r="C242" s="252"/>
      <c r="D242" s="252"/>
      <c r="E242" s="252"/>
      <c r="F242" s="202">
        <v>5000</v>
      </c>
      <c r="G242" s="202">
        <v>5000</v>
      </c>
      <c r="H242" s="202">
        <v>3608.91</v>
      </c>
    </row>
    <row r="243" spans="1:9" x14ac:dyDescent="0.25">
      <c r="A243" s="69" t="s">
        <v>472</v>
      </c>
      <c r="B243" s="252"/>
      <c r="C243" s="252"/>
      <c r="D243" s="252"/>
      <c r="E243" s="252"/>
      <c r="F243" s="202">
        <v>8000</v>
      </c>
      <c r="G243" s="202">
        <v>8000</v>
      </c>
      <c r="H243" s="202">
        <f>5412.21+1730.95</f>
        <v>7143.16</v>
      </c>
    </row>
    <row r="244" spans="1:9" x14ac:dyDescent="0.25">
      <c r="A244" s="69" t="s">
        <v>473</v>
      </c>
      <c r="B244" s="252"/>
      <c r="C244" s="252"/>
      <c r="D244" s="252"/>
      <c r="E244" s="252"/>
      <c r="F244" s="202">
        <v>500</v>
      </c>
      <c r="G244" s="202">
        <v>500</v>
      </c>
      <c r="H244" s="202">
        <v>68.31</v>
      </c>
    </row>
    <row r="245" spans="1:9" x14ac:dyDescent="0.25">
      <c r="A245" s="69" t="s">
        <v>474</v>
      </c>
      <c r="B245" s="252"/>
      <c r="C245" s="252"/>
      <c r="D245" s="252"/>
      <c r="E245" s="252"/>
      <c r="F245" s="202">
        <v>1000</v>
      </c>
      <c r="G245" s="202">
        <v>1000</v>
      </c>
      <c r="H245" s="202">
        <f>38.49+703.43</f>
        <v>741.92</v>
      </c>
    </row>
    <row r="246" spans="1:9" x14ac:dyDescent="0.25">
      <c r="A246" s="153">
        <v>323</v>
      </c>
      <c r="B246" s="153" t="s">
        <v>135</v>
      </c>
      <c r="C246" s="252"/>
      <c r="D246" s="252"/>
      <c r="E246" s="252"/>
      <c r="F246" s="206">
        <f>F247+F248+F249</f>
        <v>7500</v>
      </c>
      <c r="G246" s="206"/>
      <c r="H246" s="206"/>
    </row>
    <row r="247" spans="1:9" x14ac:dyDescent="0.25">
      <c r="A247" s="69" t="s">
        <v>468</v>
      </c>
      <c r="B247" s="252"/>
      <c r="C247" s="252"/>
      <c r="D247" s="252"/>
      <c r="E247" s="252"/>
      <c r="F247" s="202">
        <v>3000</v>
      </c>
      <c r="G247" s="202">
        <v>3000</v>
      </c>
      <c r="H247" s="202">
        <f>275+1044.36</f>
        <v>1319.36</v>
      </c>
    </row>
    <row r="248" spans="1:9" x14ac:dyDescent="0.25">
      <c r="A248" s="65" t="s">
        <v>469</v>
      </c>
      <c r="B248" s="65"/>
      <c r="C248" s="65"/>
      <c r="D248" s="65"/>
      <c r="E248" s="65"/>
      <c r="F248" s="202">
        <v>1000</v>
      </c>
      <c r="G248" s="202">
        <v>1000</v>
      </c>
      <c r="H248" s="202">
        <f>1780.94+57.61</f>
        <v>1838.55</v>
      </c>
    </row>
    <row r="249" spans="1:9" x14ac:dyDescent="0.25">
      <c r="A249" s="65" t="s">
        <v>470</v>
      </c>
      <c r="B249" s="65"/>
      <c r="C249" s="65"/>
      <c r="D249" s="65"/>
      <c r="E249" s="65"/>
      <c r="F249" s="202">
        <f>4000-500</f>
        <v>3500</v>
      </c>
      <c r="G249" s="202">
        <v>10000</v>
      </c>
      <c r="H249" s="202">
        <f>1390+80</f>
        <v>1470</v>
      </c>
      <c r="I249" s="32" t="s">
        <v>830</v>
      </c>
    </row>
    <row r="250" spans="1:9" x14ac:dyDescent="0.25">
      <c r="A250" s="65"/>
      <c r="B250" s="65"/>
      <c r="C250" s="65"/>
      <c r="D250" s="65"/>
      <c r="E250" s="65"/>
      <c r="F250" s="202"/>
      <c r="G250" s="202"/>
      <c r="H250" s="202"/>
    </row>
    <row r="251" spans="1:9" ht="15" customHeight="1" x14ac:dyDescent="0.25">
      <c r="A251" s="246" t="s">
        <v>386</v>
      </c>
      <c r="B251" s="247"/>
      <c r="C251" s="247"/>
      <c r="D251" s="247"/>
      <c r="E251" s="146"/>
      <c r="F251" s="146"/>
      <c r="G251" s="146"/>
      <c r="H251" s="231"/>
      <c r="I251" s="223"/>
    </row>
    <row r="252" spans="1:9" x14ac:dyDescent="0.25">
      <c r="A252" s="263" t="s">
        <v>340</v>
      </c>
      <c r="B252" s="263"/>
      <c r="C252" s="263"/>
      <c r="D252" s="263"/>
      <c r="E252" s="263"/>
      <c r="F252" s="96">
        <f>F254</f>
        <v>1900</v>
      </c>
      <c r="G252" s="96"/>
      <c r="H252" s="96">
        <f>H257</f>
        <v>389.42</v>
      </c>
    </row>
    <row r="253" spans="1:9" x14ac:dyDescent="0.25">
      <c r="A253" s="65"/>
      <c r="B253" s="65"/>
      <c r="C253" s="65"/>
      <c r="D253" s="65"/>
      <c r="E253" s="65"/>
      <c r="F253" s="202"/>
      <c r="G253" s="202"/>
      <c r="H253" s="202"/>
    </row>
    <row r="254" spans="1:9" x14ac:dyDescent="0.25">
      <c r="A254" s="153">
        <v>3</v>
      </c>
      <c r="B254" s="153" t="s">
        <v>158</v>
      </c>
      <c r="C254" s="153"/>
      <c r="D254" s="153"/>
      <c r="E254" s="153"/>
      <c r="F254" s="206">
        <f>F255</f>
        <v>1900</v>
      </c>
      <c r="G254" s="206"/>
      <c r="H254" s="206"/>
    </row>
    <row r="255" spans="1:9" x14ac:dyDescent="0.25">
      <c r="A255" s="153">
        <v>32</v>
      </c>
      <c r="B255" s="608" t="s">
        <v>132</v>
      </c>
      <c r="C255" s="608"/>
      <c r="D255" s="608"/>
      <c r="E255" s="608"/>
      <c r="F255" s="206">
        <f>F256+F258</f>
        <v>1900</v>
      </c>
      <c r="G255" s="206"/>
      <c r="H255" s="206"/>
    </row>
    <row r="256" spans="1:9" x14ac:dyDescent="0.25">
      <c r="A256" s="153">
        <v>322</v>
      </c>
      <c r="B256" s="243" t="s">
        <v>220</v>
      </c>
      <c r="C256" s="243"/>
      <c r="D256" s="243"/>
      <c r="E256" s="243"/>
      <c r="F256" s="206">
        <f>F257</f>
        <v>1400</v>
      </c>
      <c r="G256" s="206"/>
      <c r="H256" s="206"/>
    </row>
    <row r="257" spans="1:9" x14ac:dyDescent="0.25">
      <c r="A257" s="65">
        <v>322</v>
      </c>
      <c r="B257" s="65" t="s">
        <v>443</v>
      </c>
      <c r="C257" s="238"/>
      <c r="D257" s="238"/>
      <c r="E257" s="238"/>
      <c r="F257" s="202">
        <f>1500-100</f>
        <v>1400</v>
      </c>
      <c r="G257" s="202">
        <v>500</v>
      </c>
      <c r="H257" s="202">
        <f>378.42+6.7+4.3</f>
        <v>389.42</v>
      </c>
    </row>
    <row r="258" spans="1:9" x14ac:dyDescent="0.25">
      <c r="A258" s="153">
        <v>323</v>
      </c>
      <c r="B258" s="243" t="s">
        <v>221</v>
      </c>
      <c r="C258" s="243"/>
      <c r="D258" s="243"/>
      <c r="E258" s="243"/>
      <c r="F258" s="206">
        <f>F259</f>
        <v>500</v>
      </c>
      <c r="G258" s="206"/>
      <c r="H258" s="206"/>
    </row>
    <row r="259" spans="1:9" x14ac:dyDescent="0.25">
      <c r="A259" s="65">
        <v>3232</v>
      </c>
      <c r="B259" s="65" t="s">
        <v>444</v>
      </c>
      <c r="C259" s="65"/>
      <c r="D259" s="65"/>
      <c r="E259" s="65"/>
      <c r="F259" s="202">
        <v>500</v>
      </c>
      <c r="G259" s="202">
        <v>500</v>
      </c>
      <c r="H259" s="202"/>
    </row>
    <row r="260" spans="1:9" x14ac:dyDescent="0.25">
      <c r="A260" s="65"/>
      <c r="B260" s="65"/>
      <c r="C260" s="65"/>
      <c r="D260" s="65"/>
      <c r="E260" s="65"/>
      <c r="F260" s="202"/>
      <c r="G260" s="202"/>
      <c r="H260" s="202"/>
    </row>
    <row r="261" spans="1:9" ht="15" customHeight="1" x14ac:dyDescent="0.25">
      <c r="A261" s="246" t="s">
        <v>386</v>
      </c>
      <c r="B261" s="247"/>
      <c r="C261" s="247"/>
      <c r="D261" s="247"/>
      <c r="E261" s="146"/>
      <c r="F261" s="146"/>
      <c r="G261" s="146"/>
      <c r="H261" s="231"/>
      <c r="I261" s="223"/>
    </row>
    <row r="262" spans="1:9" x14ac:dyDescent="0.25">
      <c r="A262" s="614" t="s">
        <v>94</v>
      </c>
      <c r="B262" s="614"/>
      <c r="C262" s="614"/>
      <c r="D262" s="614"/>
      <c r="E262" s="614"/>
      <c r="F262" s="88">
        <f>F264</f>
        <v>3500</v>
      </c>
      <c r="G262" s="88"/>
      <c r="H262" s="88">
        <f>H267+H269</f>
        <v>2645.12</v>
      </c>
    </row>
    <row r="263" spans="1:9" x14ac:dyDescent="0.25">
      <c r="A263" s="65"/>
      <c r="B263" s="65"/>
      <c r="C263" s="242"/>
      <c r="D263" s="242"/>
      <c r="E263" s="242"/>
      <c r="F263" s="202"/>
      <c r="G263" s="202"/>
      <c r="H263" s="202"/>
    </row>
    <row r="264" spans="1:9" x14ac:dyDescent="0.25">
      <c r="A264" s="153">
        <v>3</v>
      </c>
      <c r="B264" s="153" t="s">
        <v>158</v>
      </c>
      <c r="C264" s="153"/>
      <c r="D264" s="153"/>
      <c r="E264" s="153"/>
      <c r="F264" s="206">
        <f>F265</f>
        <v>3500</v>
      </c>
      <c r="G264" s="206"/>
      <c r="H264" s="206"/>
    </row>
    <row r="265" spans="1:9" x14ac:dyDescent="0.25">
      <c r="A265" s="153">
        <v>32</v>
      </c>
      <c r="B265" s="608" t="s">
        <v>132</v>
      </c>
      <c r="C265" s="608"/>
      <c r="D265" s="608"/>
      <c r="E265" s="608"/>
      <c r="F265" s="206">
        <f>F266+F268</f>
        <v>3500</v>
      </c>
      <c r="G265" s="206"/>
      <c r="H265" s="206"/>
    </row>
    <row r="266" spans="1:9" x14ac:dyDescent="0.25">
      <c r="A266" s="153">
        <v>322</v>
      </c>
      <c r="B266" s="243" t="s">
        <v>220</v>
      </c>
      <c r="C266" s="243"/>
      <c r="D266" s="243"/>
      <c r="E266" s="243"/>
      <c r="F266" s="206">
        <f>F267</f>
        <v>500</v>
      </c>
      <c r="G266" s="206"/>
      <c r="H266" s="206"/>
    </row>
    <row r="267" spans="1:9" x14ac:dyDescent="0.25">
      <c r="A267" s="65">
        <v>322</v>
      </c>
      <c r="B267" s="238" t="s">
        <v>306</v>
      </c>
      <c r="C267" s="238"/>
      <c r="D267" s="238"/>
      <c r="E267" s="238"/>
      <c r="F267" s="202">
        <v>500</v>
      </c>
      <c r="G267" s="202">
        <v>1000</v>
      </c>
      <c r="H267" s="202">
        <f>28.65+39.81+265.8+85.86</f>
        <v>420.12</v>
      </c>
    </row>
    <row r="268" spans="1:9" x14ac:dyDescent="0.25">
      <c r="A268" s="153">
        <v>323</v>
      </c>
      <c r="B268" s="243" t="s">
        <v>221</v>
      </c>
      <c r="C268" s="243"/>
      <c r="D268" s="243"/>
      <c r="E268" s="243"/>
      <c r="F268" s="206">
        <f>F269</f>
        <v>3000</v>
      </c>
      <c r="G268" s="206"/>
      <c r="H268" s="206"/>
    </row>
    <row r="269" spans="1:9" x14ac:dyDescent="0.25">
      <c r="A269" s="65">
        <v>3234</v>
      </c>
      <c r="B269" s="65" t="s">
        <v>219</v>
      </c>
      <c r="C269" s="242"/>
      <c r="D269" s="242"/>
      <c r="E269" s="242"/>
      <c r="F269" s="202">
        <v>3000</v>
      </c>
      <c r="G269" s="202">
        <v>6000</v>
      </c>
      <c r="H269" s="202">
        <v>2225</v>
      </c>
    </row>
    <row r="270" spans="1:9" x14ac:dyDescent="0.25">
      <c r="A270" s="591" t="s">
        <v>467</v>
      </c>
      <c r="B270" s="591"/>
      <c r="C270" s="591"/>
      <c r="D270" s="591"/>
      <c r="E270" s="591"/>
      <c r="F270" s="202"/>
      <c r="G270" s="202"/>
      <c r="H270" s="202"/>
    </row>
    <row r="271" spans="1:9" x14ac:dyDescent="0.25">
      <c r="A271" s="239"/>
      <c r="B271" s="239"/>
      <c r="C271" s="239"/>
      <c r="D271" s="239"/>
      <c r="E271" s="239"/>
      <c r="F271" s="202"/>
      <c r="G271" s="202"/>
      <c r="H271" s="202"/>
    </row>
    <row r="272" spans="1:9" ht="15" customHeight="1" x14ac:dyDescent="0.25">
      <c r="A272" s="246" t="s">
        <v>386</v>
      </c>
      <c r="B272" s="247"/>
      <c r="C272" s="247"/>
      <c r="D272" s="247"/>
      <c r="E272" s="146"/>
      <c r="F272" s="146"/>
      <c r="G272" s="146"/>
      <c r="H272" s="231"/>
      <c r="I272" s="223"/>
    </row>
    <row r="273" spans="1:9" x14ac:dyDescent="0.25">
      <c r="A273" s="616" t="s">
        <v>95</v>
      </c>
      <c r="B273" s="616"/>
      <c r="C273" s="616"/>
      <c r="D273" s="616"/>
      <c r="E273" s="616"/>
      <c r="F273" s="96">
        <f>F275</f>
        <v>800</v>
      </c>
      <c r="G273" s="96"/>
      <c r="H273" s="96">
        <f>H278</f>
        <v>586.25</v>
      </c>
    </row>
    <row r="274" spans="1:9" x14ac:dyDescent="0.25">
      <c r="A274" s="65"/>
      <c r="B274" s="65"/>
      <c r="C274" s="242"/>
      <c r="D274" s="242"/>
      <c r="E274" s="242"/>
      <c r="F274" s="202"/>
      <c r="G274" s="202"/>
      <c r="H274" s="202"/>
    </row>
    <row r="275" spans="1:9" x14ac:dyDescent="0.25">
      <c r="A275" s="153">
        <v>3</v>
      </c>
      <c r="B275" s="153" t="s">
        <v>158</v>
      </c>
      <c r="C275" s="153"/>
      <c r="D275" s="153"/>
      <c r="E275" s="153"/>
      <c r="F275" s="206">
        <f>F276</f>
        <v>800</v>
      </c>
      <c r="G275" s="206"/>
      <c r="H275" s="206"/>
    </row>
    <row r="276" spans="1:9" x14ac:dyDescent="0.25">
      <c r="A276" s="255">
        <v>32</v>
      </c>
      <c r="B276" s="610" t="s">
        <v>132</v>
      </c>
      <c r="C276" s="610"/>
      <c r="D276" s="610"/>
      <c r="E276" s="610"/>
      <c r="F276" s="206">
        <f>F277+F279</f>
        <v>800</v>
      </c>
      <c r="G276" s="206"/>
      <c r="H276" s="206"/>
    </row>
    <row r="277" spans="1:9" x14ac:dyDescent="0.25">
      <c r="A277" s="153">
        <v>322</v>
      </c>
      <c r="B277" s="243" t="s">
        <v>220</v>
      </c>
      <c r="C277" s="256"/>
      <c r="D277" s="256"/>
      <c r="E277" s="256"/>
      <c r="F277" s="206">
        <f>F278</f>
        <v>100</v>
      </c>
      <c r="G277" s="206"/>
      <c r="H277" s="206"/>
    </row>
    <row r="278" spans="1:9" x14ac:dyDescent="0.25">
      <c r="A278" s="65">
        <v>322</v>
      </c>
      <c r="B278" s="238" t="s">
        <v>306</v>
      </c>
      <c r="C278" s="256"/>
      <c r="D278" s="256"/>
      <c r="E278" s="256"/>
      <c r="F278" s="202">
        <v>100</v>
      </c>
      <c r="G278" s="202">
        <v>200</v>
      </c>
      <c r="H278" s="202">
        <v>586.25</v>
      </c>
    </row>
    <row r="279" spans="1:9" x14ac:dyDescent="0.25">
      <c r="A279" s="255">
        <v>323</v>
      </c>
      <c r="B279" s="256" t="s">
        <v>221</v>
      </c>
      <c r="C279" s="256"/>
      <c r="D279" s="256"/>
      <c r="E279" s="256"/>
      <c r="F279" s="206">
        <f>F280</f>
        <v>700</v>
      </c>
      <c r="G279" s="206"/>
      <c r="H279" s="206"/>
    </row>
    <row r="280" spans="1:9" x14ac:dyDescent="0.25">
      <c r="A280" s="65">
        <v>3232</v>
      </c>
      <c r="B280" s="588" t="s">
        <v>223</v>
      </c>
      <c r="C280" s="588"/>
      <c r="D280" s="588"/>
      <c r="E280" s="588"/>
      <c r="F280" s="202">
        <v>700</v>
      </c>
      <c r="G280" s="202">
        <v>2000</v>
      </c>
      <c r="H280" s="202"/>
    </row>
    <row r="281" spans="1:9" x14ac:dyDescent="0.25">
      <c r="A281" s="65"/>
      <c r="B281" s="238"/>
      <c r="C281" s="238"/>
      <c r="D281" s="238"/>
      <c r="E281" s="238"/>
      <c r="F281" s="202"/>
      <c r="G281" s="202"/>
      <c r="H281" s="202"/>
    </row>
    <row r="282" spans="1:9" ht="15" customHeight="1" x14ac:dyDescent="0.25">
      <c r="A282" s="246" t="s">
        <v>390</v>
      </c>
      <c r="B282" s="247"/>
      <c r="C282" s="247"/>
      <c r="D282" s="247"/>
      <c r="E282" s="146"/>
      <c r="F282" s="146"/>
      <c r="G282" s="146"/>
      <c r="H282" s="231"/>
      <c r="I282" s="223"/>
    </row>
    <row r="283" spans="1:9" x14ac:dyDescent="0.25">
      <c r="A283" s="615" t="s">
        <v>224</v>
      </c>
      <c r="B283" s="615"/>
      <c r="C283" s="615"/>
      <c r="D283" s="615"/>
      <c r="E283" s="615"/>
      <c r="F283" s="87">
        <f>F285</f>
        <v>18500</v>
      </c>
      <c r="G283" s="87"/>
      <c r="H283" s="88">
        <f>H288+H290</f>
        <v>14583.64</v>
      </c>
    </row>
    <row r="284" spans="1:9" x14ac:dyDescent="0.25">
      <c r="A284" s="257"/>
      <c r="B284" s="257"/>
      <c r="C284" s="257"/>
      <c r="D284" s="257"/>
      <c r="E284" s="257"/>
      <c r="F284" s="233"/>
      <c r="G284" s="233"/>
      <c r="H284" s="235"/>
    </row>
    <row r="285" spans="1:9" x14ac:dyDescent="0.25">
      <c r="A285" s="255">
        <v>3</v>
      </c>
      <c r="B285" s="255" t="s">
        <v>158</v>
      </c>
      <c r="C285" s="255"/>
      <c r="D285" s="255"/>
      <c r="E285" s="255"/>
      <c r="F285" s="228">
        <f>F286</f>
        <v>18500</v>
      </c>
      <c r="G285" s="73"/>
      <c r="H285" s="73"/>
    </row>
    <row r="286" spans="1:9" x14ac:dyDescent="0.25">
      <c r="A286" s="153">
        <v>32</v>
      </c>
      <c r="B286" s="153" t="s">
        <v>132</v>
      </c>
      <c r="C286" s="153"/>
      <c r="D286" s="153"/>
      <c r="E286" s="153"/>
      <c r="F286" s="73">
        <f>F287+F289</f>
        <v>18500</v>
      </c>
      <c r="G286" s="73"/>
      <c r="H286" s="73"/>
    </row>
    <row r="287" spans="1:9" x14ac:dyDescent="0.25">
      <c r="A287" s="153">
        <v>322</v>
      </c>
      <c r="B287" s="153" t="s">
        <v>134</v>
      </c>
      <c r="C287" s="153"/>
      <c r="D287" s="153"/>
      <c r="E287" s="153"/>
      <c r="F287" s="73">
        <f>F288</f>
        <v>10000</v>
      </c>
      <c r="G287" s="73"/>
      <c r="H287" s="73"/>
    </row>
    <row r="288" spans="1:9" x14ac:dyDescent="0.25">
      <c r="A288" s="242">
        <v>3223</v>
      </c>
      <c r="B288" s="242" t="s">
        <v>225</v>
      </c>
      <c r="C288" s="242"/>
      <c r="D288" s="242"/>
      <c r="E288" s="242"/>
      <c r="F288" s="66">
        <v>10000</v>
      </c>
      <c r="G288" s="66">
        <f>11000-1000</f>
        <v>10000</v>
      </c>
      <c r="H288" s="66">
        <v>7066.64</v>
      </c>
    </row>
    <row r="289" spans="1:9" x14ac:dyDescent="0.25">
      <c r="A289" s="153">
        <v>323</v>
      </c>
      <c r="B289" s="153" t="s">
        <v>135</v>
      </c>
      <c r="C289" s="153"/>
      <c r="D289" s="153"/>
      <c r="E289" s="153"/>
      <c r="F289" s="73">
        <f>F290</f>
        <v>8500</v>
      </c>
      <c r="G289" s="73"/>
      <c r="H289" s="73"/>
    </row>
    <row r="290" spans="1:9" x14ac:dyDescent="0.25">
      <c r="A290" s="242">
        <v>3232</v>
      </c>
      <c r="B290" s="65" t="s">
        <v>226</v>
      </c>
      <c r="C290" s="242"/>
      <c r="D290" s="242"/>
      <c r="E290" s="242"/>
      <c r="F290" s="66">
        <v>8500</v>
      </c>
      <c r="G290" s="66">
        <v>10000</v>
      </c>
      <c r="H290" s="66">
        <v>7517</v>
      </c>
    </row>
    <row r="291" spans="1:9" x14ac:dyDescent="0.25">
      <c r="A291" s="242"/>
      <c r="B291" s="65"/>
      <c r="C291" s="242"/>
      <c r="D291" s="242"/>
      <c r="E291" s="242"/>
      <c r="F291" s="66"/>
      <c r="G291" s="66"/>
      <c r="H291" s="66"/>
    </row>
    <row r="292" spans="1:9" x14ac:dyDescent="0.25">
      <c r="A292" s="492" t="s">
        <v>367</v>
      </c>
      <c r="B292" s="493"/>
      <c r="C292" s="493"/>
      <c r="D292" s="493"/>
      <c r="E292" s="494"/>
      <c r="F292" s="76">
        <f>F295+F304+F311+F318+F326+F334+F342+F350</f>
        <v>782750</v>
      </c>
      <c r="G292" s="76"/>
      <c r="H292" s="76">
        <f>H295+H304+H311+H318+H326+H334+H342+H350</f>
        <v>96834.09</v>
      </c>
    </row>
    <row r="293" spans="1:9" x14ac:dyDescent="0.25">
      <c r="A293" s="89" t="s">
        <v>218</v>
      </c>
      <c r="B293" s="89"/>
      <c r="C293" s="89"/>
      <c r="D293" s="89"/>
      <c r="E293" s="89"/>
      <c r="F293" s="92"/>
      <c r="G293" s="92"/>
      <c r="H293" s="66"/>
    </row>
    <row r="294" spans="1:9" x14ac:dyDescent="0.25">
      <c r="A294" s="246" t="s">
        <v>386</v>
      </c>
      <c r="B294" s="246"/>
      <c r="C294" s="246"/>
      <c r="D294" s="246"/>
      <c r="E294" s="234"/>
      <c r="F294" s="234"/>
      <c r="G294" s="234"/>
      <c r="H294" s="258"/>
      <c r="I294" s="224"/>
    </row>
    <row r="295" spans="1:9" ht="0.75" customHeight="1" x14ac:dyDescent="0.25">
      <c r="A295" s="614" t="s">
        <v>794</v>
      </c>
      <c r="B295" s="614"/>
      <c r="C295" s="614"/>
      <c r="D295" s="614"/>
      <c r="E295" s="614"/>
      <c r="F295" s="88">
        <f>F297</f>
        <v>40000</v>
      </c>
      <c r="G295" s="88"/>
      <c r="H295" s="88">
        <f>H300</f>
        <v>39965.629999999997</v>
      </c>
    </row>
    <row r="296" spans="1:9" hidden="1" x14ac:dyDescent="0.25">
      <c r="A296" s="65"/>
      <c r="B296" s="65"/>
      <c r="C296" s="65"/>
      <c r="D296" s="65"/>
      <c r="E296" s="65"/>
      <c r="F296" s="66"/>
      <c r="G296" s="66"/>
      <c r="H296" s="66"/>
    </row>
    <row r="297" spans="1:9" hidden="1" x14ac:dyDescent="0.25">
      <c r="A297" s="153">
        <v>4</v>
      </c>
      <c r="B297" s="153" t="s">
        <v>199</v>
      </c>
      <c r="C297" s="153"/>
      <c r="D297" s="153"/>
      <c r="E297" s="153"/>
      <c r="F297" s="73">
        <f>F298</f>
        <v>40000</v>
      </c>
      <c r="G297" s="73"/>
      <c r="H297" s="73"/>
    </row>
    <row r="298" spans="1:9" hidden="1" x14ac:dyDescent="0.25">
      <c r="A298" s="153">
        <v>42</v>
      </c>
      <c r="B298" s="607" t="s">
        <v>222</v>
      </c>
      <c r="C298" s="607"/>
      <c r="D298" s="607"/>
      <c r="E298" s="607"/>
      <c r="F298" s="73">
        <f>F299</f>
        <v>40000</v>
      </c>
      <c r="G298" s="73"/>
      <c r="H298" s="73"/>
    </row>
    <row r="299" spans="1:9" hidden="1" x14ac:dyDescent="0.25">
      <c r="A299" s="153">
        <v>421</v>
      </c>
      <c r="B299" s="153" t="s">
        <v>144</v>
      </c>
      <c r="C299" s="153"/>
      <c r="D299" s="153"/>
      <c r="E299" s="153"/>
      <c r="F299" s="73">
        <f>F300</f>
        <v>40000</v>
      </c>
      <c r="G299" s="73"/>
      <c r="H299" s="73"/>
    </row>
    <row r="300" spans="1:9" hidden="1" x14ac:dyDescent="0.25">
      <c r="A300" s="65">
        <v>42131</v>
      </c>
      <c r="B300" s="588" t="s">
        <v>695</v>
      </c>
      <c r="C300" s="588"/>
      <c r="D300" s="588"/>
      <c r="E300" s="588"/>
      <c r="F300" s="66">
        <v>40000</v>
      </c>
      <c r="G300" s="66"/>
      <c r="H300" s="66">
        <v>39965.629999999997</v>
      </c>
    </row>
    <row r="301" spans="1:9" x14ac:dyDescent="0.25">
      <c r="A301" s="69"/>
      <c r="B301" s="239"/>
      <c r="C301" s="239"/>
      <c r="D301" s="239"/>
      <c r="E301" s="239"/>
      <c r="F301" s="66"/>
      <c r="G301" s="66"/>
      <c r="H301" s="66"/>
    </row>
    <row r="302" spans="1:9" x14ac:dyDescent="0.25">
      <c r="A302" s="246" t="s">
        <v>386</v>
      </c>
      <c r="B302" s="246"/>
      <c r="C302" s="246"/>
      <c r="D302" s="246"/>
      <c r="E302" s="234"/>
      <c r="F302" s="234"/>
      <c r="G302" s="234"/>
      <c r="H302" s="258"/>
      <c r="I302" s="224"/>
    </row>
    <row r="303" spans="1:9" x14ac:dyDescent="0.25">
      <c r="A303" s="606" t="s">
        <v>742</v>
      </c>
      <c r="B303" s="606"/>
      <c r="C303" s="606"/>
      <c r="D303" s="606"/>
      <c r="E303" s="606"/>
      <c r="F303" s="144"/>
      <c r="G303" s="144"/>
      <c r="H303" s="206"/>
    </row>
    <row r="304" spans="1:9" x14ac:dyDescent="0.25">
      <c r="A304" s="606" t="s">
        <v>227</v>
      </c>
      <c r="B304" s="606"/>
      <c r="C304" s="606"/>
      <c r="D304" s="606"/>
      <c r="E304" s="606"/>
      <c r="F304" s="144">
        <f>F306</f>
        <v>75000</v>
      </c>
      <c r="G304" s="144"/>
      <c r="H304" s="96">
        <f>H309</f>
        <v>0</v>
      </c>
    </row>
    <row r="305" spans="1:8" x14ac:dyDescent="0.25">
      <c r="A305" s="65"/>
      <c r="B305" s="65"/>
      <c r="C305" s="65"/>
      <c r="D305" s="65"/>
      <c r="E305" s="65"/>
      <c r="F305" s="66"/>
      <c r="G305" s="66"/>
      <c r="H305" s="66"/>
    </row>
    <row r="306" spans="1:8" x14ac:dyDescent="0.25">
      <c r="A306" s="153">
        <v>4</v>
      </c>
      <c r="B306" s="153" t="s">
        <v>199</v>
      </c>
      <c r="C306" s="153"/>
      <c r="D306" s="153"/>
      <c r="E306" s="153"/>
      <c r="F306" s="73">
        <f>F307</f>
        <v>75000</v>
      </c>
      <c r="G306" s="73"/>
      <c r="H306" s="73"/>
    </row>
    <row r="307" spans="1:8" x14ac:dyDescent="0.25">
      <c r="A307" s="153">
        <v>45</v>
      </c>
      <c r="B307" s="607" t="s">
        <v>239</v>
      </c>
      <c r="C307" s="607"/>
      <c r="D307" s="607"/>
      <c r="E307" s="607"/>
      <c r="F307" s="73">
        <f>F308</f>
        <v>75000</v>
      </c>
      <c r="G307" s="73"/>
      <c r="H307" s="73"/>
    </row>
    <row r="308" spans="1:8" x14ac:dyDescent="0.25">
      <c r="A308" s="153">
        <v>451</v>
      </c>
      <c r="B308" s="153" t="s">
        <v>240</v>
      </c>
      <c r="C308" s="153"/>
      <c r="D308" s="153"/>
      <c r="E308" s="153"/>
      <c r="F308" s="73">
        <f>F309</f>
        <v>75000</v>
      </c>
      <c r="G308" s="73"/>
      <c r="H308" s="73"/>
    </row>
    <row r="309" spans="1:8" x14ac:dyDescent="0.25">
      <c r="A309" s="65">
        <v>4511</v>
      </c>
      <c r="B309" s="588" t="s">
        <v>810</v>
      </c>
      <c r="C309" s="588"/>
      <c r="D309" s="588"/>
      <c r="E309" s="588"/>
      <c r="F309" s="66">
        <v>75000</v>
      </c>
      <c r="G309" s="66">
        <v>75000</v>
      </c>
      <c r="H309" s="66"/>
    </row>
    <row r="310" spans="1:8" x14ac:dyDescent="0.25">
      <c r="A310" s="65"/>
      <c r="B310" s="239"/>
      <c r="C310" s="239"/>
      <c r="D310" s="239"/>
      <c r="E310" s="239"/>
      <c r="F310" s="66"/>
      <c r="G310" s="66"/>
      <c r="H310" s="66"/>
    </row>
    <row r="311" spans="1:8" x14ac:dyDescent="0.25">
      <c r="A311" s="606" t="s">
        <v>743</v>
      </c>
      <c r="B311" s="606"/>
      <c r="C311" s="606"/>
      <c r="D311" s="606"/>
      <c r="E311" s="606"/>
      <c r="F311" s="88">
        <f>F313</f>
        <v>35000</v>
      </c>
      <c r="G311" s="88"/>
      <c r="H311" s="254">
        <f>H316</f>
        <v>3750</v>
      </c>
    </row>
    <row r="312" spans="1:8" x14ac:dyDescent="0.25">
      <c r="A312" s="65"/>
      <c r="B312" s="239"/>
      <c r="C312" s="239"/>
      <c r="D312" s="239"/>
      <c r="E312" s="239"/>
      <c r="F312" s="66"/>
      <c r="G312" s="66"/>
      <c r="H312" s="66"/>
    </row>
    <row r="313" spans="1:8" x14ac:dyDescent="0.25">
      <c r="A313" s="153">
        <v>4</v>
      </c>
      <c r="B313" s="153" t="s">
        <v>199</v>
      </c>
      <c r="C313" s="153"/>
      <c r="D313" s="153"/>
      <c r="E313" s="153"/>
      <c r="F313" s="73">
        <f>F314</f>
        <v>35000</v>
      </c>
      <c r="G313" s="73"/>
      <c r="H313" s="66"/>
    </row>
    <row r="314" spans="1:8" x14ac:dyDescent="0.25">
      <c r="A314" s="153">
        <v>45</v>
      </c>
      <c r="B314" s="607" t="s">
        <v>239</v>
      </c>
      <c r="C314" s="607"/>
      <c r="D314" s="607"/>
      <c r="E314" s="607"/>
      <c r="F314" s="73">
        <f>F315</f>
        <v>35000</v>
      </c>
      <c r="G314" s="73"/>
      <c r="H314" s="66"/>
    </row>
    <row r="315" spans="1:8" x14ac:dyDescent="0.25">
      <c r="A315" s="153">
        <v>451</v>
      </c>
      <c r="B315" s="153" t="s">
        <v>240</v>
      </c>
      <c r="C315" s="153"/>
      <c r="D315" s="153"/>
      <c r="E315" s="153"/>
      <c r="F315" s="73">
        <f>F316</f>
        <v>35000</v>
      </c>
      <c r="G315" s="73"/>
      <c r="H315" s="66"/>
    </row>
    <row r="316" spans="1:8" x14ac:dyDescent="0.25">
      <c r="A316" s="65">
        <v>4511</v>
      </c>
      <c r="B316" s="588"/>
      <c r="C316" s="588"/>
      <c r="D316" s="588"/>
      <c r="E316" s="588"/>
      <c r="F316" s="66">
        <v>35000</v>
      </c>
      <c r="G316" s="66">
        <f>165000-15000</f>
        <v>150000</v>
      </c>
      <c r="H316" s="66">
        <v>3750</v>
      </c>
    </row>
    <row r="317" spans="1:8" ht="13.5" customHeight="1" x14ac:dyDescent="0.25">
      <c r="A317" s="65"/>
      <c r="B317" s="239"/>
      <c r="C317" s="239"/>
      <c r="D317" s="239"/>
      <c r="E317" s="239"/>
      <c r="F317" s="66"/>
      <c r="G317" s="66"/>
      <c r="H317" s="66"/>
    </row>
    <row r="318" spans="1:8" hidden="1" x14ac:dyDescent="0.25">
      <c r="A318" s="606" t="s">
        <v>684</v>
      </c>
      <c r="B318" s="606"/>
      <c r="C318" s="606"/>
      <c r="D318" s="606"/>
      <c r="E318" s="606"/>
      <c r="F318" s="88">
        <f>F320</f>
        <v>20000</v>
      </c>
      <c r="G318" s="88"/>
      <c r="H318" s="254">
        <f>H323</f>
        <v>19785.189999999999</v>
      </c>
    </row>
    <row r="319" spans="1:8" hidden="1" x14ac:dyDescent="0.25">
      <c r="A319" s="65"/>
      <c r="B319" s="239"/>
      <c r="C319" s="239"/>
      <c r="D319" s="239"/>
      <c r="E319" s="239"/>
      <c r="F319" s="66"/>
      <c r="G319" s="66"/>
      <c r="H319" s="66"/>
    </row>
    <row r="320" spans="1:8" hidden="1" x14ac:dyDescent="0.25">
      <c r="A320" s="153">
        <v>4</v>
      </c>
      <c r="B320" s="153" t="s">
        <v>199</v>
      </c>
      <c r="C320" s="153"/>
      <c r="D320" s="153"/>
      <c r="E320" s="153"/>
      <c r="F320" s="73">
        <f>F321</f>
        <v>20000</v>
      </c>
      <c r="G320" s="73"/>
      <c r="H320" s="66"/>
    </row>
    <row r="321" spans="1:16" hidden="1" x14ac:dyDescent="0.25">
      <c r="A321" s="153">
        <v>42</v>
      </c>
      <c r="B321" s="607" t="s">
        <v>222</v>
      </c>
      <c r="C321" s="607"/>
      <c r="D321" s="607"/>
      <c r="E321" s="607"/>
      <c r="F321" s="73">
        <f>F322</f>
        <v>20000</v>
      </c>
      <c r="G321" s="73"/>
      <c r="H321" s="66"/>
    </row>
    <row r="322" spans="1:16" hidden="1" x14ac:dyDescent="0.25">
      <c r="A322" s="153">
        <v>421</v>
      </c>
      <c r="B322" s="153" t="s">
        <v>144</v>
      </c>
      <c r="C322" s="153"/>
      <c r="D322" s="153"/>
      <c r="E322" s="153"/>
      <c r="F322" s="73">
        <f>F323</f>
        <v>20000</v>
      </c>
      <c r="G322" s="73"/>
      <c r="H322" s="66"/>
    </row>
    <row r="323" spans="1:16" hidden="1" x14ac:dyDescent="0.25">
      <c r="A323" s="65">
        <v>42139</v>
      </c>
      <c r="B323" s="588" t="s">
        <v>666</v>
      </c>
      <c r="C323" s="588"/>
      <c r="D323" s="588"/>
      <c r="E323" s="588"/>
      <c r="F323" s="66">
        <v>20000</v>
      </c>
      <c r="G323" s="66"/>
      <c r="H323" s="66">
        <v>19785.189999999999</v>
      </c>
    </row>
    <row r="324" spans="1:16" hidden="1" x14ac:dyDescent="0.25">
      <c r="A324" s="65"/>
      <c r="B324" s="239"/>
      <c r="C324" s="239"/>
      <c r="D324" s="239"/>
      <c r="E324" s="239"/>
      <c r="F324" s="66"/>
      <c r="G324" s="66"/>
      <c r="H324" s="66"/>
    </row>
    <row r="325" spans="1:16" x14ac:dyDescent="0.25">
      <c r="A325" s="246" t="s">
        <v>386</v>
      </c>
      <c r="B325" s="246"/>
      <c r="C325" s="246"/>
      <c r="D325" s="246"/>
      <c r="E325" s="234"/>
      <c r="F325" s="234"/>
      <c r="G325" s="234"/>
      <c r="H325" s="258"/>
      <c r="I325" s="224"/>
    </row>
    <row r="326" spans="1:16" s="111" customFormat="1" x14ac:dyDescent="0.25">
      <c r="A326" s="350" t="s">
        <v>665</v>
      </c>
      <c r="B326" s="351"/>
      <c r="C326" s="351"/>
      <c r="D326" s="351"/>
      <c r="E326" s="351"/>
      <c r="F326" s="88">
        <f>F328</f>
        <v>160000</v>
      </c>
      <c r="G326" s="88"/>
      <c r="H326" s="88">
        <f>H331</f>
        <v>33084.42</v>
      </c>
      <c r="I326" s="151"/>
      <c r="J326" s="151"/>
      <c r="K326" s="151"/>
      <c r="L326" s="151"/>
      <c r="M326" s="151"/>
      <c r="N326" s="151"/>
      <c r="O326" s="151"/>
      <c r="P326" s="151"/>
    </row>
    <row r="327" spans="1:16" x14ac:dyDescent="0.25">
      <c r="A327" s="65"/>
      <c r="B327" s="65"/>
      <c r="C327" s="65"/>
      <c r="D327" s="65"/>
      <c r="E327" s="65"/>
      <c r="F327" s="66"/>
      <c r="G327" s="66"/>
      <c r="H327" s="66"/>
    </row>
    <row r="328" spans="1:16" x14ac:dyDescent="0.25">
      <c r="A328" s="153">
        <v>4</v>
      </c>
      <c r="B328" s="153" t="s">
        <v>199</v>
      </c>
      <c r="C328" s="153"/>
      <c r="D328" s="153"/>
      <c r="E328" s="153"/>
      <c r="F328" s="73">
        <f t="shared" ref="F328:F330" si="16">F329</f>
        <v>160000</v>
      </c>
      <c r="G328" s="73"/>
      <c r="H328" s="73"/>
    </row>
    <row r="329" spans="1:16" x14ac:dyDescent="0.25">
      <c r="A329" s="153">
        <v>42</v>
      </c>
      <c r="B329" s="607" t="s">
        <v>222</v>
      </c>
      <c r="C329" s="607"/>
      <c r="D329" s="607"/>
      <c r="E329" s="607"/>
      <c r="F329" s="73">
        <f t="shared" si="16"/>
        <v>160000</v>
      </c>
      <c r="G329" s="73"/>
      <c r="H329" s="73"/>
    </row>
    <row r="330" spans="1:16" x14ac:dyDescent="0.25">
      <c r="A330" s="153">
        <v>421</v>
      </c>
      <c r="B330" s="153" t="s">
        <v>144</v>
      </c>
      <c r="C330" s="153"/>
      <c r="D330" s="153"/>
      <c r="E330" s="153"/>
      <c r="F330" s="73">
        <f t="shared" si="16"/>
        <v>160000</v>
      </c>
      <c r="G330" s="73"/>
      <c r="H330" s="73"/>
    </row>
    <row r="331" spans="1:16" x14ac:dyDescent="0.25">
      <c r="A331" s="65">
        <v>4213</v>
      </c>
      <c r="B331" s="588" t="s">
        <v>315</v>
      </c>
      <c r="C331" s="588"/>
      <c r="D331" s="588"/>
      <c r="E331" s="588"/>
      <c r="F331" s="66">
        <v>160000</v>
      </c>
      <c r="G331" s="66">
        <v>60000</v>
      </c>
      <c r="H331" s="66">
        <v>33084.42</v>
      </c>
    </row>
    <row r="332" spans="1:16" x14ac:dyDescent="0.25">
      <c r="A332" s="65"/>
      <c r="B332" s="238"/>
      <c r="C332" s="238"/>
      <c r="D332" s="238"/>
      <c r="E332" s="238"/>
      <c r="F332" s="66"/>
      <c r="G332" s="66"/>
      <c r="H332" s="66"/>
    </row>
    <row r="333" spans="1:16" ht="3" customHeight="1" x14ac:dyDescent="0.25">
      <c r="A333" s="246" t="s">
        <v>386</v>
      </c>
      <c r="B333" s="246"/>
      <c r="C333" s="246"/>
      <c r="D333" s="246"/>
      <c r="E333" s="234"/>
      <c r="F333" s="234"/>
      <c r="G333" s="234"/>
      <c r="H333" s="258"/>
      <c r="I333" s="224"/>
    </row>
    <row r="334" spans="1:16" s="111" customFormat="1" hidden="1" x14ac:dyDescent="0.25">
      <c r="A334" s="350" t="s">
        <v>692</v>
      </c>
      <c r="B334" s="351"/>
      <c r="C334" s="351"/>
      <c r="D334" s="351"/>
      <c r="E334" s="351"/>
      <c r="F334" s="88">
        <f>F336</f>
        <v>130000</v>
      </c>
      <c r="G334" s="88"/>
      <c r="H334" s="88">
        <f>H339</f>
        <v>248.85</v>
      </c>
      <c r="I334" s="151"/>
      <c r="J334" s="32"/>
      <c r="K334" s="151"/>
      <c r="L334" s="151"/>
      <c r="M334" s="151"/>
      <c r="N334" s="151"/>
      <c r="O334" s="151"/>
      <c r="P334" s="151"/>
    </row>
    <row r="335" spans="1:16" hidden="1" x14ac:dyDescent="0.25">
      <c r="A335" s="65"/>
      <c r="B335" s="65"/>
      <c r="C335" s="65"/>
      <c r="D335" s="65"/>
      <c r="E335" s="65"/>
      <c r="F335" s="66"/>
      <c r="G335" s="66"/>
      <c r="H335" s="66"/>
    </row>
    <row r="336" spans="1:16" ht="32.25" hidden="1" customHeight="1" x14ac:dyDescent="0.25">
      <c r="A336" s="153">
        <v>4</v>
      </c>
      <c r="B336" s="153" t="s">
        <v>199</v>
      </c>
      <c r="C336" s="153"/>
      <c r="D336" s="153"/>
      <c r="E336" s="153"/>
      <c r="F336" s="73">
        <f t="shared" ref="F336:F338" si="17">F337</f>
        <v>130000</v>
      </c>
      <c r="G336" s="73"/>
      <c r="H336" s="73"/>
    </row>
    <row r="337" spans="1:10" ht="11.25" hidden="1" customHeight="1" x14ac:dyDescent="0.25">
      <c r="A337" s="153">
        <v>42</v>
      </c>
      <c r="B337" s="607" t="s">
        <v>222</v>
      </c>
      <c r="C337" s="607"/>
      <c r="D337" s="607"/>
      <c r="E337" s="607"/>
      <c r="F337" s="73">
        <f t="shared" si="17"/>
        <v>130000</v>
      </c>
      <c r="G337" s="73"/>
      <c r="H337" s="73"/>
    </row>
    <row r="338" spans="1:10" ht="23.25" hidden="1" customHeight="1" x14ac:dyDescent="0.25">
      <c r="A338" s="153">
        <v>421</v>
      </c>
      <c r="B338" s="153" t="s">
        <v>144</v>
      </c>
      <c r="C338" s="153"/>
      <c r="D338" s="153"/>
      <c r="E338" s="153"/>
      <c r="F338" s="73">
        <f t="shared" si="17"/>
        <v>130000</v>
      </c>
      <c r="G338" s="73"/>
      <c r="H338" s="73"/>
    </row>
    <row r="339" spans="1:10" ht="15" hidden="1" customHeight="1" x14ac:dyDescent="0.25">
      <c r="A339" s="65">
        <v>4213</v>
      </c>
      <c r="B339" s="588" t="s">
        <v>315</v>
      </c>
      <c r="C339" s="588"/>
      <c r="D339" s="588"/>
      <c r="E339" s="588"/>
      <c r="F339" s="66">
        <v>130000</v>
      </c>
      <c r="G339" s="66"/>
      <c r="H339" s="66">
        <v>248.85</v>
      </c>
      <c r="I339" s="32" t="s">
        <v>750</v>
      </c>
    </row>
    <row r="340" spans="1:10" ht="7.5" hidden="1" customHeight="1" x14ac:dyDescent="0.25">
      <c r="A340" s="65"/>
      <c r="B340" s="238"/>
      <c r="C340" s="238"/>
      <c r="D340" s="238"/>
      <c r="E340" s="238"/>
      <c r="F340" s="66"/>
      <c r="G340" s="66"/>
      <c r="H340" s="66"/>
    </row>
    <row r="341" spans="1:10" ht="10.5" hidden="1" customHeight="1" x14ac:dyDescent="0.25">
      <c r="A341" s="246" t="s">
        <v>386</v>
      </c>
      <c r="B341" s="246"/>
      <c r="C341" s="246"/>
      <c r="D341" s="246"/>
      <c r="E341" s="234"/>
      <c r="F341" s="234"/>
      <c r="G341" s="234"/>
      <c r="H341" s="258"/>
      <c r="I341" s="224"/>
    </row>
    <row r="342" spans="1:10" ht="13.5" hidden="1" customHeight="1" x14ac:dyDescent="0.25">
      <c r="A342" s="350" t="s">
        <v>479</v>
      </c>
      <c r="B342" s="351"/>
      <c r="C342" s="351"/>
      <c r="D342" s="351"/>
      <c r="E342" s="351"/>
      <c r="F342" s="88">
        <f>F344</f>
        <v>315750</v>
      </c>
      <c r="G342" s="88"/>
      <c r="H342" s="88">
        <f>H347</f>
        <v>0</v>
      </c>
    </row>
    <row r="343" spans="1:10" ht="21" hidden="1" customHeight="1" x14ac:dyDescent="0.25">
      <c r="A343" s="65"/>
      <c r="B343" s="65"/>
      <c r="C343" s="65"/>
      <c r="D343" s="65"/>
      <c r="E343" s="65"/>
      <c r="F343" s="66"/>
      <c r="G343" s="66"/>
      <c r="H343" s="66"/>
    </row>
    <row r="344" spans="1:10" ht="14.25" hidden="1" customHeight="1" x14ac:dyDescent="0.25">
      <c r="A344" s="153">
        <v>4</v>
      </c>
      <c r="B344" s="153" t="s">
        <v>199</v>
      </c>
      <c r="C344" s="153"/>
      <c r="D344" s="153"/>
      <c r="E344" s="153"/>
      <c r="F344" s="73">
        <f t="shared" ref="F344:F346" si="18">F345</f>
        <v>315750</v>
      </c>
      <c r="G344" s="73"/>
      <c r="H344" s="73"/>
    </row>
    <row r="345" spans="1:10" ht="17.25" hidden="1" customHeight="1" x14ac:dyDescent="0.25">
      <c r="A345" s="153">
        <v>42</v>
      </c>
      <c r="B345" s="607" t="s">
        <v>222</v>
      </c>
      <c r="C345" s="607"/>
      <c r="D345" s="607"/>
      <c r="E345" s="607"/>
      <c r="F345" s="73">
        <f t="shared" si="18"/>
        <v>315750</v>
      </c>
      <c r="G345" s="73"/>
      <c r="H345" s="73"/>
    </row>
    <row r="346" spans="1:10" ht="15" hidden="1" customHeight="1" x14ac:dyDescent="0.25">
      <c r="A346" s="153">
        <v>421</v>
      </c>
      <c r="B346" s="153" t="s">
        <v>144</v>
      </c>
      <c r="C346" s="153"/>
      <c r="D346" s="153"/>
      <c r="E346" s="153"/>
      <c r="F346" s="73">
        <f t="shared" si="18"/>
        <v>315750</v>
      </c>
      <c r="G346" s="73"/>
      <c r="H346" s="73"/>
    </row>
    <row r="347" spans="1:10" ht="18" hidden="1" customHeight="1" x14ac:dyDescent="0.25">
      <c r="A347" s="65">
        <v>4213</v>
      </c>
      <c r="B347" s="588" t="s">
        <v>315</v>
      </c>
      <c r="C347" s="588"/>
      <c r="D347" s="588"/>
      <c r="E347" s="588"/>
      <c r="F347" s="66">
        <v>315750</v>
      </c>
      <c r="G347" s="66"/>
      <c r="H347" s="66"/>
    </row>
    <row r="348" spans="1:10" ht="21" hidden="1" customHeight="1" x14ac:dyDescent="0.25">
      <c r="A348" s="65"/>
      <c r="B348" s="238"/>
      <c r="C348" s="238"/>
      <c r="D348" s="238"/>
      <c r="E348" s="238"/>
      <c r="F348" s="66"/>
      <c r="G348" s="66"/>
      <c r="H348" s="66"/>
    </row>
    <row r="349" spans="1:10" ht="27" hidden="1" customHeight="1" x14ac:dyDescent="0.25">
      <c r="A349" s="246" t="s">
        <v>386</v>
      </c>
      <c r="B349" s="246"/>
      <c r="C349" s="246"/>
      <c r="D349" s="246"/>
      <c r="E349" s="234"/>
      <c r="F349" s="234"/>
      <c r="G349" s="234"/>
      <c r="H349" s="258"/>
      <c r="I349" s="224"/>
    </row>
    <row r="350" spans="1:10" ht="16.5" hidden="1" customHeight="1" x14ac:dyDescent="0.25">
      <c r="A350" s="94" t="s">
        <v>685</v>
      </c>
      <c r="B350" s="94"/>
      <c r="C350" s="94"/>
      <c r="D350" s="94"/>
      <c r="E350" s="94"/>
      <c r="F350" s="88">
        <f>F352</f>
        <v>7000</v>
      </c>
      <c r="G350" s="88"/>
      <c r="H350" s="88">
        <f>H355</f>
        <v>0</v>
      </c>
      <c r="J350" s="32" t="s">
        <v>457</v>
      </c>
    </row>
    <row r="351" spans="1:10" ht="14.25" hidden="1" customHeight="1" x14ac:dyDescent="0.25">
      <c r="A351" s="65"/>
      <c r="B351" s="65"/>
      <c r="C351" s="65"/>
      <c r="D351" s="65"/>
      <c r="E351" s="65"/>
      <c r="F351" s="66"/>
      <c r="G351" s="66"/>
      <c r="H351" s="66"/>
    </row>
    <row r="352" spans="1:10" ht="18.75" hidden="1" customHeight="1" x14ac:dyDescent="0.25">
      <c r="A352" s="153">
        <v>4</v>
      </c>
      <c r="B352" s="153" t="s">
        <v>199</v>
      </c>
      <c r="C352" s="153"/>
      <c r="D352" s="153"/>
      <c r="E352" s="153"/>
      <c r="F352" s="73">
        <f t="shared" ref="F352:F354" si="19">F353</f>
        <v>7000</v>
      </c>
      <c r="G352" s="73"/>
      <c r="H352" s="73"/>
    </row>
    <row r="353" spans="1:8" hidden="1" x14ac:dyDescent="0.25">
      <c r="A353" s="153">
        <v>42</v>
      </c>
      <c r="B353" s="607" t="s">
        <v>222</v>
      </c>
      <c r="C353" s="607"/>
      <c r="D353" s="607"/>
      <c r="E353" s="607"/>
      <c r="F353" s="73">
        <f t="shared" si="19"/>
        <v>7000</v>
      </c>
      <c r="G353" s="73"/>
      <c r="H353" s="73"/>
    </row>
    <row r="354" spans="1:8" ht="29.25" hidden="1" customHeight="1" x14ac:dyDescent="0.25">
      <c r="A354" s="153">
        <v>421</v>
      </c>
      <c r="B354" s="153" t="s">
        <v>144</v>
      </c>
      <c r="C354" s="153"/>
      <c r="D354" s="153"/>
      <c r="E354" s="153"/>
      <c r="F354" s="73">
        <f t="shared" si="19"/>
        <v>7000</v>
      </c>
      <c r="G354" s="73"/>
      <c r="H354" s="73"/>
    </row>
    <row r="355" spans="1:8" ht="30.75" hidden="1" customHeight="1" x14ac:dyDescent="0.25">
      <c r="A355" s="253">
        <v>4213</v>
      </c>
      <c r="B355" s="588" t="s">
        <v>315</v>
      </c>
      <c r="C355" s="588"/>
      <c r="D355" s="588"/>
      <c r="E355" s="588"/>
      <c r="F355" s="66">
        <v>7000</v>
      </c>
      <c r="G355" s="66"/>
      <c r="H355" s="66"/>
    </row>
    <row r="356" spans="1:8" ht="42.75" hidden="1" customHeight="1" x14ac:dyDescent="0.25">
      <c r="A356" s="65"/>
      <c r="B356" s="238"/>
      <c r="C356" s="238"/>
      <c r="D356" s="238"/>
      <c r="E356" s="238"/>
      <c r="F356" s="66"/>
      <c r="G356" s="66"/>
      <c r="H356" s="66"/>
    </row>
    <row r="357" spans="1:8" x14ac:dyDescent="0.25">
      <c r="A357" s="606" t="s">
        <v>898</v>
      </c>
      <c r="B357" s="606"/>
      <c r="C357" s="606"/>
      <c r="D357" s="606"/>
      <c r="E357" s="606"/>
      <c r="F357" s="88"/>
      <c r="G357" s="88"/>
      <c r="H357" s="88"/>
    </row>
    <row r="358" spans="1:8" x14ac:dyDescent="0.25">
      <c r="A358" s="65"/>
      <c r="B358" s="238"/>
      <c r="C358" s="238"/>
      <c r="D358" s="238"/>
      <c r="E358" s="238"/>
      <c r="F358" s="66"/>
      <c r="G358" s="66"/>
      <c r="H358" s="66"/>
    </row>
    <row r="359" spans="1:8" x14ac:dyDescent="0.25">
      <c r="A359" s="153">
        <v>4</v>
      </c>
      <c r="B359" s="153" t="s">
        <v>199</v>
      </c>
      <c r="C359" s="153"/>
      <c r="D359" s="153"/>
      <c r="E359" s="153"/>
      <c r="F359" s="66"/>
      <c r="G359" s="66"/>
      <c r="H359" s="66"/>
    </row>
    <row r="360" spans="1:8" x14ac:dyDescent="0.25">
      <c r="A360" s="153">
        <v>42</v>
      </c>
      <c r="B360" s="607" t="s">
        <v>222</v>
      </c>
      <c r="C360" s="607"/>
      <c r="D360" s="607"/>
      <c r="E360" s="607"/>
      <c r="F360" s="66"/>
      <c r="G360" s="66"/>
      <c r="H360" s="66"/>
    </row>
    <row r="361" spans="1:8" x14ac:dyDescent="0.25">
      <c r="A361" s="65">
        <v>4213</v>
      </c>
      <c r="B361" s="238" t="s">
        <v>747</v>
      </c>
      <c r="C361" s="238"/>
      <c r="D361" s="238"/>
      <c r="E361" s="238"/>
      <c r="F361" s="66"/>
      <c r="G361" s="66">
        <v>40000</v>
      </c>
      <c r="H361" s="66"/>
    </row>
    <row r="362" spans="1:8" x14ac:dyDescent="0.25">
      <c r="A362" s="65"/>
      <c r="B362" s="238"/>
      <c r="C362" s="238"/>
      <c r="D362" s="238"/>
      <c r="E362" s="238"/>
      <c r="F362" s="66"/>
      <c r="G362" s="66"/>
      <c r="H362" s="66"/>
    </row>
    <row r="363" spans="1:8" x14ac:dyDescent="0.25">
      <c r="A363" s="606" t="s">
        <v>749</v>
      </c>
      <c r="B363" s="606"/>
      <c r="C363" s="606"/>
      <c r="D363" s="606"/>
      <c r="E363" s="606"/>
      <c r="F363" s="88"/>
      <c r="G363" s="88"/>
      <c r="H363" s="88"/>
    </row>
    <row r="364" spans="1:8" x14ac:dyDescent="0.25">
      <c r="A364" s="65"/>
      <c r="B364" s="238"/>
      <c r="C364" s="238"/>
      <c r="D364" s="238"/>
      <c r="E364" s="238"/>
      <c r="F364" s="66"/>
      <c r="G364" s="66"/>
      <c r="H364" s="66"/>
    </row>
    <row r="365" spans="1:8" x14ac:dyDescent="0.25">
      <c r="A365" s="153">
        <v>4</v>
      </c>
      <c r="B365" s="153" t="s">
        <v>199</v>
      </c>
      <c r="C365" s="153"/>
      <c r="D365" s="153"/>
      <c r="E365" s="153"/>
      <c r="F365" s="66"/>
      <c r="G365" s="66"/>
      <c r="H365" s="66"/>
    </row>
    <row r="366" spans="1:8" x14ac:dyDescent="0.25">
      <c r="A366" s="153">
        <v>42</v>
      </c>
      <c r="B366" s="607" t="s">
        <v>222</v>
      </c>
      <c r="C366" s="607"/>
      <c r="D366" s="607"/>
      <c r="E366" s="607"/>
      <c r="F366" s="66"/>
      <c r="G366" s="66"/>
      <c r="H366" s="66"/>
    </row>
    <row r="367" spans="1:8" x14ac:dyDescent="0.25">
      <c r="A367" s="65">
        <v>42139</v>
      </c>
      <c r="B367" s="238" t="s">
        <v>748</v>
      </c>
      <c r="C367" s="238"/>
      <c r="D367" s="238"/>
      <c r="E367" s="238"/>
      <c r="F367" s="66"/>
      <c r="G367" s="66">
        <f>100000-10000</f>
        <v>90000</v>
      </c>
      <c r="H367" s="66"/>
    </row>
    <row r="368" spans="1:8" x14ac:dyDescent="0.25">
      <c r="A368" s="65"/>
      <c r="B368" s="238"/>
      <c r="C368" s="238"/>
      <c r="D368" s="238"/>
      <c r="E368" s="238"/>
      <c r="F368" s="66"/>
      <c r="G368" s="66"/>
      <c r="H368" s="66"/>
    </row>
    <row r="369" spans="1:9" x14ac:dyDescent="0.25">
      <c r="A369" s="606" t="s">
        <v>751</v>
      </c>
      <c r="B369" s="606"/>
      <c r="C369" s="606"/>
      <c r="D369" s="606"/>
      <c r="E369" s="606"/>
      <c r="F369" s="254"/>
      <c r="G369" s="254"/>
      <c r="H369" s="254"/>
    </row>
    <row r="370" spans="1:9" x14ac:dyDescent="0.25">
      <c r="A370" s="65"/>
      <c r="B370" s="238"/>
      <c r="C370" s="238"/>
      <c r="D370" s="238"/>
      <c r="E370" s="238"/>
      <c r="F370" s="66"/>
      <c r="G370" s="66"/>
      <c r="H370" s="66"/>
    </row>
    <row r="371" spans="1:9" x14ac:dyDescent="0.25">
      <c r="A371" s="153">
        <v>4</v>
      </c>
      <c r="B371" s="153" t="s">
        <v>199</v>
      </c>
      <c r="C371" s="153"/>
      <c r="D371" s="153"/>
      <c r="E371" s="153"/>
      <c r="F371" s="66"/>
      <c r="G371" s="66"/>
      <c r="H371" s="66"/>
    </row>
    <row r="372" spans="1:9" x14ac:dyDescent="0.25">
      <c r="A372" s="153">
        <v>42</v>
      </c>
      <c r="B372" s="607" t="s">
        <v>222</v>
      </c>
      <c r="C372" s="607"/>
      <c r="D372" s="607"/>
      <c r="E372" s="607"/>
      <c r="F372" s="66"/>
      <c r="G372" s="66"/>
      <c r="H372" s="66"/>
    </row>
    <row r="373" spans="1:9" x14ac:dyDescent="0.25">
      <c r="A373" s="65">
        <v>4214</v>
      </c>
      <c r="B373" s="238"/>
      <c r="C373" s="238"/>
      <c r="D373" s="238"/>
      <c r="E373" s="238"/>
      <c r="F373" s="66"/>
      <c r="G373" s="66">
        <v>30000</v>
      </c>
      <c r="H373" s="66"/>
    </row>
    <row r="374" spans="1:9" x14ac:dyDescent="0.25">
      <c r="A374" s="65"/>
      <c r="B374" s="238"/>
      <c r="C374" s="238"/>
      <c r="D374" s="238"/>
      <c r="E374" s="238"/>
      <c r="F374" s="66"/>
      <c r="G374" s="66"/>
      <c r="H374" s="66"/>
    </row>
    <row r="375" spans="1:9" x14ac:dyDescent="0.25">
      <c r="A375" s="606" t="s">
        <v>897</v>
      </c>
      <c r="B375" s="606"/>
      <c r="C375" s="606"/>
      <c r="D375" s="606"/>
      <c r="E375" s="606"/>
      <c r="F375" s="144"/>
      <c r="G375" s="144"/>
      <c r="H375" s="144"/>
    </row>
    <row r="376" spans="1:9" x14ac:dyDescent="0.25">
      <c r="A376" s="65"/>
      <c r="B376" s="238"/>
      <c r="C376" s="238"/>
      <c r="D376" s="238"/>
      <c r="E376" s="238"/>
      <c r="F376" s="66"/>
      <c r="G376" s="66"/>
      <c r="H376" s="66"/>
    </row>
    <row r="377" spans="1:9" x14ac:dyDescent="0.25">
      <c r="A377" s="153">
        <v>4</v>
      </c>
      <c r="B377" s="153" t="s">
        <v>199</v>
      </c>
      <c r="C377" s="153"/>
      <c r="D377" s="153"/>
      <c r="E377" s="153"/>
      <c r="F377" s="66"/>
      <c r="G377" s="66"/>
      <c r="H377" s="66"/>
    </row>
    <row r="378" spans="1:9" x14ac:dyDescent="0.25">
      <c r="A378" s="153">
        <v>42</v>
      </c>
      <c r="B378" s="153" t="s">
        <v>229</v>
      </c>
      <c r="C378" s="153"/>
      <c r="D378" s="153"/>
      <c r="E378" s="153"/>
      <c r="F378" s="66"/>
      <c r="G378" s="66"/>
      <c r="H378" s="66"/>
    </row>
    <row r="379" spans="1:9" x14ac:dyDescent="0.25">
      <c r="A379" s="65">
        <v>42</v>
      </c>
      <c r="B379" s="238" t="s">
        <v>752</v>
      </c>
      <c r="C379" s="238"/>
      <c r="D379" s="238"/>
      <c r="E379" s="238"/>
      <c r="F379" s="66"/>
      <c r="G379" s="66">
        <f>300000-50000</f>
        <v>250000</v>
      </c>
      <c r="H379" s="66"/>
    </row>
    <row r="380" spans="1:9" x14ac:dyDescent="0.25">
      <c r="A380" s="65"/>
      <c r="B380" s="239"/>
      <c r="C380" s="239"/>
      <c r="D380" s="239"/>
      <c r="E380" s="239"/>
      <c r="F380" s="66"/>
      <c r="G380" s="66"/>
      <c r="H380" s="66"/>
    </row>
    <row r="381" spans="1:9" x14ac:dyDescent="0.25">
      <c r="A381" s="566" t="s">
        <v>368</v>
      </c>
      <c r="B381" s="567"/>
      <c r="C381" s="567"/>
      <c r="D381" s="567"/>
      <c r="E381" s="605"/>
      <c r="F381" s="194"/>
      <c r="G381" s="194"/>
      <c r="H381" s="206"/>
    </row>
    <row r="382" spans="1:9" x14ac:dyDescent="0.25">
      <c r="A382" s="296" t="s">
        <v>76</v>
      </c>
      <c r="B382" s="297"/>
      <c r="C382" s="297"/>
      <c r="D382" s="297"/>
      <c r="E382" s="357"/>
      <c r="F382" s="194">
        <f>F385</f>
        <v>20000</v>
      </c>
      <c r="G382" s="194"/>
      <c r="H382" s="194">
        <f t="shared" ref="H382" si="20">H385</f>
        <v>17327.72</v>
      </c>
    </row>
    <row r="383" spans="1:9" x14ac:dyDescent="0.25">
      <c r="A383" s="246" t="s">
        <v>392</v>
      </c>
      <c r="B383" s="246"/>
      <c r="C383" s="246"/>
      <c r="D383" s="246"/>
      <c r="E383" s="234"/>
      <c r="F383" s="234"/>
      <c r="G383" s="234"/>
      <c r="H383" s="258"/>
      <c r="I383" s="224"/>
    </row>
    <row r="384" spans="1:9" x14ac:dyDescent="0.25">
      <c r="A384" s="90" t="s">
        <v>746</v>
      </c>
      <c r="B384" s="90"/>
      <c r="C384" s="90"/>
      <c r="D384" s="90"/>
      <c r="E384" s="90"/>
      <c r="F384" s="144"/>
      <c r="G384" s="144"/>
      <c r="H384" s="96"/>
    </row>
    <row r="385" spans="1:18" x14ac:dyDescent="0.25">
      <c r="A385" s="606" t="s">
        <v>228</v>
      </c>
      <c r="B385" s="606"/>
      <c r="C385" s="606"/>
      <c r="D385" s="606"/>
      <c r="E385" s="606"/>
      <c r="F385" s="144">
        <f>F387</f>
        <v>20000</v>
      </c>
      <c r="G385" s="144"/>
      <c r="H385" s="96">
        <f>H390</f>
        <v>17327.72</v>
      </c>
    </row>
    <row r="386" spans="1:18" x14ac:dyDescent="0.25">
      <c r="A386" s="241"/>
      <c r="B386" s="241"/>
      <c r="C386" s="241"/>
      <c r="D386" s="241"/>
      <c r="E386" s="241"/>
      <c r="F386" s="66"/>
      <c r="G386" s="66"/>
      <c r="H386" s="66"/>
    </row>
    <row r="387" spans="1:18" x14ac:dyDescent="0.25">
      <c r="A387" s="153">
        <v>4</v>
      </c>
      <c r="B387" s="153" t="s">
        <v>5</v>
      </c>
      <c r="C387" s="153"/>
      <c r="D387" s="153"/>
      <c r="E387" s="153"/>
      <c r="F387" s="73">
        <f>F388</f>
        <v>20000</v>
      </c>
      <c r="G387" s="73"/>
      <c r="H387" s="73"/>
    </row>
    <row r="388" spans="1:18" x14ac:dyDescent="0.25">
      <c r="A388" s="153">
        <v>42</v>
      </c>
      <c r="B388" s="153" t="s">
        <v>229</v>
      </c>
      <c r="C388" s="153"/>
      <c r="D388" s="153"/>
      <c r="E388" s="153"/>
      <c r="F388" s="73">
        <f>F389</f>
        <v>20000</v>
      </c>
      <c r="G388" s="73"/>
      <c r="H388" s="73"/>
    </row>
    <row r="389" spans="1:18" x14ac:dyDescent="0.25">
      <c r="A389" s="153">
        <v>421</v>
      </c>
      <c r="B389" s="153" t="s">
        <v>144</v>
      </c>
      <c r="C389" s="153"/>
      <c r="D389" s="153"/>
      <c r="E389" s="153"/>
      <c r="F389" s="73">
        <f>F390</f>
        <v>20000</v>
      </c>
      <c r="G389" s="73"/>
      <c r="H389" s="73"/>
    </row>
    <row r="390" spans="1:18" x14ac:dyDescent="0.25">
      <c r="A390" s="242">
        <v>4214</v>
      </c>
      <c r="B390" s="65" t="s">
        <v>230</v>
      </c>
      <c r="C390" s="242"/>
      <c r="D390" s="242"/>
      <c r="E390" s="242"/>
      <c r="F390" s="66">
        <v>20000</v>
      </c>
      <c r="G390" s="66">
        <f>10000-1000</f>
        <v>9000</v>
      </c>
      <c r="H390" s="66">
        <v>17327.72</v>
      </c>
    </row>
    <row r="391" spans="1:18" x14ac:dyDescent="0.25">
      <c r="A391" s="242"/>
      <c r="B391" s="65"/>
      <c r="C391" s="242"/>
      <c r="D391" s="242"/>
      <c r="E391" s="242"/>
      <c r="F391" s="66"/>
      <c r="G391" s="66"/>
      <c r="H391" s="66"/>
    </row>
    <row r="392" spans="1:18" x14ac:dyDescent="0.25">
      <c r="A392" s="289" t="s">
        <v>369</v>
      </c>
      <c r="B392" s="289"/>
      <c r="C392" s="289"/>
      <c r="D392" s="289"/>
      <c r="E392" s="75"/>
      <c r="F392" s="76">
        <f>F394+F409+F420</f>
        <v>23290</v>
      </c>
      <c r="G392" s="76"/>
      <c r="H392" s="76">
        <f>H394+H409+H420</f>
        <v>12630.05</v>
      </c>
    </row>
    <row r="393" spans="1:18" x14ac:dyDescent="0.25">
      <c r="A393" s="246" t="s">
        <v>393</v>
      </c>
      <c r="B393" s="246"/>
      <c r="C393" s="246"/>
      <c r="D393" s="246"/>
      <c r="E393" s="234"/>
      <c r="F393" s="234"/>
      <c r="G393" s="234"/>
      <c r="H393" s="258"/>
      <c r="I393" s="224"/>
    </row>
    <row r="394" spans="1:18" x14ac:dyDescent="0.25">
      <c r="A394" s="90" t="s">
        <v>96</v>
      </c>
      <c r="B394" s="90"/>
      <c r="C394" s="90"/>
      <c r="D394" s="90"/>
      <c r="E394" s="90"/>
      <c r="F394" s="87">
        <f>F396</f>
        <v>14060</v>
      </c>
      <c r="G394" s="87"/>
      <c r="H394" s="88">
        <f>H399+H405+H402</f>
        <v>12040.05</v>
      </c>
    </row>
    <row r="395" spans="1:18" x14ac:dyDescent="0.25">
      <c r="A395" s="242"/>
      <c r="B395" s="65"/>
      <c r="C395" s="242"/>
      <c r="D395" s="242"/>
      <c r="E395" s="242"/>
      <c r="F395" s="66"/>
      <c r="G395" s="66"/>
      <c r="H395" s="66"/>
    </row>
    <row r="396" spans="1:18" x14ac:dyDescent="0.25">
      <c r="A396" s="153">
        <v>3</v>
      </c>
      <c r="B396" s="153" t="s">
        <v>18</v>
      </c>
      <c r="C396" s="153"/>
      <c r="D396" s="153"/>
      <c r="E396" s="153"/>
      <c r="F396" s="73">
        <f>F397+F403</f>
        <v>14060</v>
      </c>
      <c r="G396" s="73"/>
      <c r="H396" s="73"/>
    </row>
    <row r="397" spans="1:18" x14ac:dyDescent="0.25">
      <c r="A397" s="153">
        <v>32</v>
      </c>
      <c r="B397" s="153" t="s">
        <v>132</v>
      </c>
      <c r="C397" s="153"/>
      <c r="D397" s="153"/>
      <c r="E397" s="153"/>
      <c r="F397" s="73">
        <f>F398+F401</f>
        <v>11660</v>
      </c>
      <c r="G397" s="73"/>
      <c r="H397" s="73"/>
    </row>
    <row r="398" spans="1:18" x14ac:dyDescent="0.25">
      <c r="A398" s="153">
        <v>323</v>
      </c>
      <c r="B398" s="153" t="s">
        <v>135</v>
      </c>
      <c r="C398" s="153"/>
      <c r="D398" s="153"/>
      <c r="E398" s="153"/>
      <c r="F398" s="73">
        <f>F399+F400</f>
        <v>9500</v>
      </c>
      <c r="G398" s="73"/>
      <c r="H398" s="73"/>
    </row>
    <row r="399" spans="1:18" x14ac:dyDescent="0.25">
      <c r="A399" s="242">
        <v>3234</v>
      </c>
      <c r="B399" s="65" t="s">
        <v>462</v>
      </c>
      <c r="C399" s="242"/>
      <c r="D399" s="242"/>
      <c r="E399" s="242"/>
      <c r="F399" s="66">
        <f>10000-2000</f>
        <v>8000</v>
      </c>
      <c r="G399" s="66">
        <v>10000</v>
      </c>
      <c r="H399" s="66">
        <f>8682.49</f>
        <v>8682.49</v>
      </c>
      <c r="I399" s="32" t="s">
        <v>795</v>
      </c>
      <c r="J399" s="32" t="s">
        <v>796</v>
      </c>
      <c r="K399" s="32">
        <f>20*12</f>
        <v>240</v>
      </c>
      <c r="L399" s="32" t="s">
        <v>797</v>
      </c>
      <c r="M399" s="32">
        <f>350*12</f>
        <v>4200</v>
      </c>
      <c r="N399" s="32" t="s">
        <v>798</v>
      </c>
      <c r="O399" s="32">
        <f>100*12</f>
        <v>1200</v>
      </c>
      <c r="P399" s="32" t="s">
        <v>799</v>
      </c>
      <c r="R399">
        <f>700*3</f>
        <v>2100</v>
      </c>
    </row>
    <row r="400" spans="1:18" x14ac:dyDescent="0.25">
      <c r="A400" s="242">
        <v>3239</v>
      </c>
      <c r="B400" s="65" t="s">
        <v>307</v>
      </c>
      <c r="C400" s="242"/>
      <c r="D400" s="242"/>
      <c r="E400" s="242"/>
      <c r="F400" s="66">
        <v>1500</v>
      </c>
      <c r="G400" s="66">
        <v>1600</v>
      </c>
      <c r="H400" s="66"/>
    </row>
    <row r="401" spans="1:10" x14ac:dyDescent="0.25">
      <c r="A401" s="153">
        <v>329</v>
      </c>
      <c r="B401" s="608" t="s">
        <v>152</v>
      </c>
      <c r="C401" s="608"/>
      <c r="D401" s="608"/>
      <c r="E401" s="608"/>
      <c r="F401" s="73">
        <f>F402</f>
        <v>2160</v>
      </c>
      <c r="G401" s="73"/>
      <c r="H401" s="73"/>
    </row>
    <row r="402" spans="1:10" x14ac:dyDescent="0.25">
      <c r="A402" s="242">
        <v>3295</v>
      </c>
      <c r="B402" s="588" t="s">
        <v>304</v>
      </c>
      <c r="C402" s="588"/>
      <c r="D402" s="588"/>
      <c r="E402" s="588"/>
      <c r="F402" s="66">
        <f>180*12</f>
        <v>2160</v>
      </c>
      <c r="G402" s="66">
        <v>2200</v>
      </c>
      <c r="H402" s="66">
        <v>1357.56</v>
      </c>
      <c r="I402" s="32" t="s">
        <v>629</v>
      </c>
      <c r="J402" s="32">
        <f>180*12</f>
        <v>2160</v>
      </c>
    </row>
    <row r="403" spans="1:10" x14ac:dyDescent="0.25">
      <c r="A403" s="153">
        <v>36</v>
      </c>
      <c r="B403" s="153" t="s">
        <v>213</v>
      </c>
      <c r="C403" s="153"/>
      <c r="D403" s="153"/>
      <c r="E403" s="153"/>
      <c r="F403" s="73">
        <f>F404</f>
        <v>2400</v>
      </c>
      <c r="G403" s="73"/>
      <c r="H403" s="73"/>
    </row>
    <row r="404" spans="1:10" x14ac:dyDescent="0.25">
      <c r="A404" s="153">
        <v>363</v>
      </c>
      <c r="B404" s="153" t="s">
        <v>213</v>
      </c>
      <c r="C404" s="153"/>
      <c r="D404" s="153"/>
      <c r="E404" s="153"/>
      <c r="F404" s="73">
        <f>F405</f>
        <v>2400</v>
      </c>
      <c r="G404" s="73"/>
      <c r="H404" s="73"/>
    </row>
    <row r="405" spans="1:10" x14ac:dyDescent="0.25">
      <c r="A405" s="242">
        <v>3631</v>
      </c>
      <c r="B405" s="65" t="s">
        <v>231</v>
      </c>
      <c r="C405" s="242"/>
      <c r="D405" s="242"/>
      <c r="E405" s="242"/>
      <c r="F405" s="66">
        <f>200*12</f>
        <v>2400</v>
      </c>
      <c r="G405" s="66">
        <v>2400</v>
      </c>
      <c r="H405" s="66">
        <v>2000</v>
      </c>
      <c r="I405" s="32">
        <f>200*12</f>
        <v>2400</v>
      </c>
    </row>
    <row r="406" spans="1:10" x14ac:dyDescent="0.25">
      <c r="A406" s="242"/>
      <c r="B406" s="65"/>
      <c r="C406" s="242"/>
      <c r="D406" s="242"/>
      <c r="E406" s="242"/>
      <c r="F406" s="66"/>
      <c r="G406" s="66"/>
      <c r="H406" s="66"/>
    </row>
    <row r="407" spans="1:10" x14ac:dyDescent="0.25">
      <c r="A407" s="246" t="s">
        <v>394</v>
      </c>
      <c r="B407" s="246"/>
      <c r="C407" s="246"/>
      <c r="D407" s="246"/>
      <c r="E407" s="234"/>
      <c r="F407" s="234"/>
      <c r="G407" s="234"/>
      <c r="H407" s="258"/>
      <c r="I407" s="224"/>
    </row>
    <row r="408" spans="1:10" x14ac:dyDescent="0.25">
      <c r="A408" s="90" t="s">
        <v>738</v>
      </c>
      <c r="B408" s="90"/>
      <c r="C408" s="90"/>
      <c r="D408" s="90"/>
      <c r="E408" s="90"/>
      <c r="F408" s="144"/>
      <c r="G408" s="144"/>
      <c r="H408" s="206"/>
    </row>
    <row r="409" spans="1:10" x14ac:dyDescent="0.25">
      <c r="A409" s="606"/>
      <c r="B409" s="606"/>
      <c r="C409" s="606"/>
      <c r="D409" s="606"/>
      <c r="E409" s="606"/>
      <c r="F409" s="144">
        <f>F411</f>
        <v>9230</v>
      </c>
      <c r="G409" s="144"/>
      <c r="H409" s="96">
        <f>H414+H417</f>
        <v>590</v>
      </c>
    </row>
    <row r="410" spans="1:10" x14ac:dyDescent="0.25">
      <c r="A410" s="248"/>
      <c r="B410" s="248"/>
      <c r="C410" s="248"/>
      <c r="D410" s="248"/>
      <c r="E410" s="248"/>
      <c r="F410" s="235"/>
      <c r="G410" s="235"/>
      <c r="H410" s="235"/>
    </row>
    <row r="411" spans="1:10" x14ac:dyDescent="0.25">
      <c r="A411" s="255">
        <v>3</v>
      </c>
      <c r="B411" s="255" t="s">
        <v>18</v>
      </c>
      <c r="C411" s="255"/>
      <c r="D411" s="255"/>
      <c r="E411" s="255"/>
      <c r="F411" s="228">
        <f>F412</f>
        <v>9230</v>
      </c>
      <c r="G411" s="228"/>
      <c r="H411" s="73"/>
    </row>
    <row r="412" spans="1:10" x14ac:dyDescent="0.25">
      <c r="A412" s="153">
        <v>32</v>
      </c>
      <c r="B412" s="153" t="s">
        <v>132</v>
      </c>
      <c r="C412" s="153"/>
      <c r="D412" s="153"/>
      <c r="E412" s="153"/>
      <c r="F412" s="73">
        <f>F413+F415</f>
        <v>9230</v>
      </c>
      <c r="G412" s="73"/>
      <c r="H412" s="73"/>
    </row>
    <row r="413" spans="1:10" x14ac:dyDescent="0.25">
      <c r="A413" s="153">
        <v>322</v>
      </c>
      <c r="B413" s="243" t="s">
        <v>220</v>
      </c>
      <c r="C413" s="153"/>
      <c r="D413" s="153"/>
      <c r="E413" s="153"/>
      <c r="F413" s="73">
        <f>F414</f>
        <v>100</v>
      </c>
      <c r="G413" s="73"/>
      <c r="H413" s="73"/>
    </row>
    <row r="414" spans="1:10" x14ac:dyDescent="0.25">
      <c r="A414" s="65">
        <v>322</v>
      </c>
      <c r="B414" s="238" t="s">
        <v>306</v>
      </c>
      <c r="C414" s="153"/>
      <c r="D414" s="153"/>
      <c r="E414" s="153"/>
      <c r="F414" s="66">
        <v>100</v>
      </c>
      <c r="G414" s="66">
        <v>500</v>
      </c>
      <c r="H414" s="66"/>
    </row>
    <row r="415" spans="1:10" x14ac:dyDescent="0.25">
      <c r="A415" s="153">
        <v>323</v>
      </c>
      <c r="B415" s="153" t="s">
        <v>135</v>
      </c>
      <c r="C415" s="153"/>
      <c r="D415" s="153"/>
      <c r="E415" s="153"/>
      <c r="F415" s="73">
        <f>F416+F417</f>
        <v>9130</v>
      </c>
      <c r="G415" s="73"/>
      <c r="H415" s="73"/>
    </row>
    <row r="416" spans="1:10" x14ac:dyDescent="0.25">
      <c r="A416" s="65">
        <v>3233</v>
      </c>
      <c r="B416" s="65" t="s">
        <v>312</v>
      </c>
      <c r="C416" s="65"/>
      <c r="D416" s="65"/>
      <c r="E416" s="65"/>
      <c r="F416" s="66">
        <v>8130</v>
      </c>
      <c r="G416" s="66">
        <v>8130</v>
      </c>
      <c r="H416" s="66"/>
      <c r="I416" s="32">
        <f>2*4063</f>
        <v>8126</v>
      </c>
    </row>
    <row r="417" spans="1:9" x14ac:dyDescent="0.25">
      <c r="A417" s="65" t="s">
        <v>452</v>
      </c>
      <c r="B417" s="65"/>
      <c r="C417" s="65"/>
      <c r="D417" s="65"/>
      <c r="E417" s="65"/>
      <c r="F417" s="66">
        <v>1000</v>
      </c>
      <c r="G417" s="66">
        <v>1000</v>
      </c>
      <c r="H417" s="66">
        <v>590</v>
      </c>
    </row>
    <row r="418" spans="1:9" x14ac:dyDescent="0.25">
      <c r="A418" s="65"/>
      <c r="B418" s="65"/>
      <c r="C418" s="65"/>
      <c r="D418" s="65"/>
      <c r="E418" s="65"/>
      <c r="F418" s="66"/>
      <c r="G418" s="66"/>
      <c r="H418" s="66"/>
    </row>
    <row r="419" spans="1:9" hidden="1" x14ac:dyDescent="0.25">
      <c r="A419" s="246" t="s">
        <v>395</v>
      </c>
      <c r="B419" s="246"/>
      <c r="C419" s="246"/>
      <c r="D419" s="246"/>
      <c r="E419" s="234"/>
      <c r="F419" s="234"/>
      <c r="G419" s="234"/>
      <c r="H419" s="258"/>
      <c r="I419" s="224"/>
    </row>
    <row r="420" spans="1:9" hidden="1" x14ac:dyDescent="0.25">
      <c r="A420" s="612" t="s">
        <v>232</v>
      </c>
      <c r="B420" s="612"/>
      <c r="C420" s="612"/>
      <c r="D420" s="612"/>
      <c r="E420" s="612"/>
      <c r="F420" s="87"/>
      <c r="G420" s="87"/>
      <c r="H420" s="88">
        <f>H430</f>
        <v>0</v>
      </c>
    </row>
    <row r="421" spans="1:9" hidden="1" x14ac:dyDescent="0.25">
      <c r="A421" s="255"/>
      <c r="B421" s="255"/>
      <c r="C421" s="255"/>
      <c r="D421" s="255"/>
      <c r="E421" s="255"/>
      <c r="F421" s="228"/>
      <c r="G421" s="228"/>
      <c r="H421" s="73"/>
    </row>
    <row r="422" spans="1:9" hidden="1" x14ac:dyDescent="0.25">
      <c r="A422" s="153">
        <v>3</v>
      </c>
      <c r="B422" s="153" t="s">
        <v>18</v>
      </c>
      <c r="C422" s="255"/>
      <c r="D422" s="255"/>
      <c r="E422" s="255"/>
      <c r="F422" s="228"/>
      <c r="G422" s="228"/>
      <c r="H422" s="73"/>
    </row>
    <row r="423" spans="1:9" hidden="1" x14ac:dyDescent="0.25">
      <c r="A423" s="153">
        <v>32</v>
      </c>
      <c r="B423" s="153" t="s">
        <v>132</v>
      </c>
      <c r="C423" s="255"/>
      <c r="D423" s="255"/>
      <c r="E423" s="255"/>
      <c r="F423" s="228"/>
      <c r="G423" s="228"/>
      <c r="H423" s="73"/>
    </row>
    <row r="424" spans="1:9" hidden="1" x14ac:dyDescent="0.25">
      <c r="A424" s="153">
        <v>323</v>
      </c>
      <c r="B424" s="153" t="s">
        <v>135</v>
      </c>
      <c r="C424" s="255"/>
      <c r="D424" s="255"/>
      <c r="E424" s="255"/>
      <c r="F424" s="228"/>
      <c r="G424" s="228"/>
      <c r="H424" s="73"/>
    </row>
    <row r="425" spans="1:9" hidden="1" x14ac:dyDescent="0.25">
      <c r="A425" s="65">
        <v>3232</v>
      </c>
      <c r="B425" s="238" t="s">
        <v>454</v>
      </c>
      <c r="C425" s="255"/>
      <c r="D425" s="255"/>
      <c r="E425" s="255"/>
      <c r="F425" s="227">
        <v>0</v>
      </c>
      <c r="G425" s="227"/>
      <c r="H425" s="66"/>
    </row>
    <row r="426" spans="1:9" hidden="1" x14ac:dyDescent="0.25">
      <c r="A426" s="153">
        <v>4</v>
      </c>
      <c r="B426" s="153" t="s">
        <v>5</v>
      </c>
      <c r="C426" s="255"/>
      <c r="D426" s="255"/>
      <c r="E426" s="255"/>
      <c r="F426" s="228"/>
      <c r="G426" s="228"/>
      <c r="H426" s="73"/>
    </row>
    <row r="427" spans="1:9" hidden="1" x14ac:dyDescent="0.25">
      <c r="A427" s="153">
        <v>42</v>
      </c>
      <c r="B427" s="627" t="s">
        <v>222</v>
      </c>
      <c r="C427" s="628"/>
      <c r="D427" s="628"/>
      <c r="E427" s="628"/>
      <c r="F427" s="228"/>
      <c r="G427" s="228"/>
      <c r="H427" s="73"/>
    </row>
    <row r="428" spans="1:9" hidden="1" x14ac:dyDescent="0.25">
      <c r="A428" s="153">
        <v>422</v>
      </c>
      <c r="B428" s="153" t="s">
        <v>145</v>
      </c>
      <c r="C428" s="153"/>
      <c r="D428" s="153"/>
      <c r="E428" s="153"/>
      <c r="F428" s="73"/>
      <c r="G428" s="73"/>
      <c r="H428" s="73"/>
    </row>
    <row r="429" spans="1:9" hidden="1" x14ac:dyDescent="0.25">
      <c r="A429" s="65">
        <v>4225</v>
      </c>
      <c r="B429" s="65" t="s">
        <v>342</v>
      </c>
      <c r="C429" s="65"/>
      <c r="D429" s="65"/>
      <c r="E429" s="65"/>
      <c r="F429" s="66">
        <v>0</v>
      </c>
      <c r="G429" s="66"/>
      <c r="H429" s="66"/>
    </row>
    <row r="430" spans="1:9" hidden="1" x14ac:dyDescent="0.25">
      <c r="A430" s="65">
        <v>4223</v>
      </c>
      <c r="B430" s="65" t="s">
        <v>341</v>
      </c>
      <c r="C430" s="65"/>
      <c r="D430" s="65"/>
      <c r="E430" s="65"/>
      <c r="F430" s="66">
        <v>0</v>
      </c>
      <c r="G430" s="66"/>
      <c r="H430" s="66"/>
    </row>
    <row r="431" spans="1:9" hidden="1" x14ac:dyDescent="0.25">
      <c r="A431" s="242"/>
      <c r="B431" s="65"/>
      <c r="C431" s="65"/>
      <c r="D431" s="65"/>
      <c r="E431" s="65"/>
      <c r="F431" s="66"/>
      <c r="G431" s="66"/>
      <c r="H431" s="66"/>
    </row>
    <row r="432" spans="1:9" x14ac:dyDescent="0.25">
      <c r="A432" s="289" t="s">
        <v>370</v>
      </c>
      <c r="B432" s="289"/>
      <c r="C432" s="289"/>
      <c r="D432" s="289"/>
      <c r="E432" s="75"/>
      <c r="F432" s="76">
        <f>F434</f>
        <v>15700</v>
      </c>
      <c r="G432" s="76"/>
      <c r="H432" s="76">
        <f t="shared" ref="H432" si="21">H434</f>
        <v>10018.9</v>
      </c>
    </row>
    <row r="433" spans="1:13" x14ac:dyDescent="0.25">
      <c r="A433" s="246" t="s">
        <v>396</v>
      </c>
      <c r="B433" s="246"/>
      <c r="C433" s="246"/>
      <c r="D433" s="246"/>
      <c r="E433" s="234"/>
      <c r="F433" s="234"/>
      <c r="G433" s="234"/>
      <c r="H433" s="258"/>
      <c r="I433" s="224"/>
    </row>
    <row r="434" spans="1:13" x14ac:dyDescent="0.25">
      <c r="A434" s="90" t="s">
        <v>97</v>
      </c>
      <c r="B434" s="90"/>
      <c r="C434" s="90"/>
      <c r="D434" s="90"/>
      <c r="E434" s="90"/>
      <c r="F434" s="87">
        <f>F436</f>
        <v>15700</v>
      </c>
      <c r="G434" s="87"/>
      <c r="H434" s="88">
        <f>SUM(H436:H446)</f>
        <v>10018.9</v>
      </c>
    </row>
    <row r="435" spans="1:13" x14ac:dyDescent="0.25">
      <c r="A435" s="248"/>
      <c r="B435" s="248"/>
      <c r="C435" s="248"/>
      <c r="D435" s="248"/>
      <c r="E435" s="248"/>
      <c r="F435" s="66"/>
      <c r="G435" s="66"/>
      <c r="H435" s="66"/>
    </row>
    <row r="436" spans="1:13" x14ac:dyDescent="0.25">
      <c r="A436" s="153">
        <v>3</v>
      </c>
      <c r="B436" s="153" t="s">
        <v>18</v>
      </c>
      <c r="C436" s="153"/>
      <c r="D436" s="153"/>
      <c r="E436" s="153"/>
      <c r="F436" s="73">
        <f>F437+F444</f>
        <v>15700</v>
      </c>
      <c r="G436" s="73"/>
      <c r="H436" s="73"/>
      <c r="I436" s="60" t="s">
        <v>428</v>
      </c>
      <c r="J436" s="32">
        <f>2503*2</f>
        <v>5006</v>
      </c>
    </row>
    <row r="437" spans="1:13" x14ac:dyDescent="0.25">
      <c r="A437" s="153">
        <v>32</v>
      </c>
      <c r="B437" s="153" t="s">
        <v>132</v>
      </c>
      <c r="C437" s="153"/>
      <c r="D437" s="153"/>
      <c r="E437" s="153"/>
      <c r="F437" s="73">
        <f>F438</f>
        <v>15400</v>
      </c>
      <c r="G437" s="73"/>
      <c r="H437" s="73"/>
      <c r="I437" s="60" t="s">
        <v>426</v>
      </c>
      <c r="J437" s="32">
        <f>1570*2</f>
        <v>3140</v>
      </c>
    </row>
    <row r="438" spans="1:13" x14ac:dyDescent="0.25">
      <c r="A438" s="153">
        <v>323</v>
      </c>
      <c r="B438" s="153" t="s">
        <v>135</v>
      </c>
      <c r="C438" s="153"/>
      <c r="D438" s="153"/>
      <c r="E438" s="153"/>
      <c r="F438" s="73">
        <f>F439+F440+F441+F442+F443</f>
        <v>15400</v>
      </c>
      <c r="G438" s="73"/>
      <c r="H438" s="73"/>
      <c r="I438" s="60" t="s">
        <v>427</v>
      </c>
      <c r="J438" s="32">
        <v>200</v>
      </c>
    </row>
    <row r="439" spans="1:13" x14ac:dyDescent="0.25">
      <c r="A439" s="242">
        <v>3234</v>
      </c>
      <c r="B439" s="65" t="s">
        <v>308</v>
      </c>
      <c r="C439" s="242"/>
      <c r="D439" s="242"/>
      <c r="E439" s="242"/>
      <c r="F439" s="66">
        <v>8500</v>
      </c>
      <c r="G439" s="66">
        <v>9900</v>
      </c>
      <c r="H439" s="66">
        <f>6431</f>
        <v>6431</v>
      </c>
    </row>
    <row r="440" spans="1:13" x14ac:dyDescent="0.25">
      <c r="A440" s="65">
        <v>3234</v>
      </c>
      <c r="B440" s="65" t="s">
        <v>233</v>
      </c>
      <c r="C440" s="65"/>
      <c r="D440" s="65"/>
      <c r="E440" s="65"/>
      <c r="F440" s="66">
        <v>400</v>
      </c>
      <c r="G440" s="66">
        <v>400</v>
      </c>
      <c r="H440" s="66"/>
      <c r="I440" s="32">
        <f>157*2</f>
        <v>314</v>
      </c>
    </row>
    <row r="441" spans="1:13" x14ac:dyDescent="0.25">
      <c r="A441" s="242">
        <v>3236</v>
      </c>
      <c r="B441" s="591" t="s">
        <v>235</v>
      </c>
      <c r="C441" s="591"/>
      <c r="D441" s="591"/>
      <c r="E441" s="591"/>
      <c r="F441" s="66">
        <v>500</v>
      </c>
      <c r="G441" s="66">
        <v>600</v>
      </c>
      <c r="H441" s="66">
        <v>328.12</v>
      </c>
    </row>
    <row r="442" spans="1:13" x14ac:dyDescent="0.25">
      <c r="A442" s="242">
        <v>3236</v>
      </c>
      <c r="B442" s="65" t="s">
        <v>344</v>
      </c>
      <c r="C442" s="242"/>
      <c r="D442" s="242"/>
      <c r="E442" s="242"/>
      <c r="F442" s="66">
        <v>5000</v>
      </c>
      <c r="G442" s="66">
        <v>5000</v>
      </c>
      <c r="H442" s="66">
        <f>1687.5+281.25+25.63</f>
        <v>1994.38</v>
      </c>
      <c r="I442" s="32" t="s">
        <v>627</v>
      </c>
      <c r="J442" s="32">
        <f>190*12</f>
        <v>2280</v>
      </c>
      <c r="K442" s="32" t="s">
        <v>628</v>
      </c>
      <c r="M442" s="32">
        <f>188*12</f>
        <v>2256</v>
      </c>
    </row>
    <row r="443" spans="1:13" x14ac:dyDescent="0.25">
      <c r="A443" s="242"/>
      <c r="B443" s="65" t="s">
        <v>343</v>
      </c>
      <c r="C443" s="242"/>
      <c r="D443" s="242"/>
      <c r="E443" s="242"/>
      <c r="F443" s="66">
        <v>1000</v>
      </c>
      <c r="G443" s="66">
        <v>2000</v>
      </c>
      <c r="H443" s="66">
        <v>1205.4000000000001</v>
      </c>
      <c r="I443" s="32" t="s">
        <v>626</v>
      </c>
    </row>
    <row r="444" spans="1:13" x14ac:dyDescent="0.25">
      <c r="A444" s="153">
        <v>35</v>
      </c>
      <c r="B444" s="608" t="s">
        <v>236</v>
      </c>
      <c r="C444" s="608"/>
      <c r="D444" s="608"/>
      <c r="E444" s="608"/>
      <c r="F444" s="73">
        <f t="shared" ref="F444:F445" si="22">F445</f>
        <v>300</v>
      </c>
      <c r="G444" s="73"/>
      <c r="H444" s="73"/>
    </row>
    <row r="445" spans="1:13" x14ac:dyDescent="0.25">
      <c r="A445" s="153">
        <v>352</v>
      </c>
      <c r="B445" s="608" t="s">
        <v>237</v>
      </c>
      <c r="C445" s="608"/>
      <c r="D445" s="608"/>
      <c r="E445" s="608"/>
      <c r="F445" s="73">
        <f t="shared" si="22"/>
        <v>300</v>
      </c>
      <c r="G445" s="73"/>
      <c r="H445" s="73"/>
    </row>
    <row r="446" spans="1:13" x14ac:dyDescent="0.25">
      <c r="A446" s="65">
        <v>3523</v>
      </c>
      <c r="B446" s="65" t="s">
        <v>234</v>
      </c>
      <c r="C446" s="242"/>
      <c r="D446" s="242"/>
      <c r="E446" s="238"/>
      <c r="F446" s="66">
        <v>300</v>
      </c>
      <c r="G446" s="66">
        <v>400</v>
      </c>
      <c r="H446" s="66">
        <v>60</v>
      </c>
    </row>
    <row r="447" spans="1:13" x14ac:dyDescent="0.25">
      <c r="A447" s="242"/>
      <c r="B447" s="65"/>
      <c r="C447" s="65"/>
      <c r="D447" s="65"/>
      <c r="E447" s="65"/>
      <c r="F447" s="66"/>
      <c r="G447" s="66"/>
      <c r="H447" s="66"/>
    </row>
    <row r="448" spans="1:13" x14ac:dyDescent="0.25">
      <c r="A448" s="492" t="s">
        <v>371</v>
      </c>
      <c r="B448" s="493"/>
      <c r="C448" s="493"/>
      <c r="D448" s="493"/>
      <c r="E448" s="494"/>
      <c r="F448" s="76">
        <f>F450+F459+F471+F481+F490</f>
        <v>77500</v>
      </c>
      <c r="G448" s="76"/>
      <c r="H448" s="76">
        <f>H450+H459+H471+H481+H490</f>
        <v>49100.34</v>
      </c>
    </row>
    <row r="449" spans="1:12" x14ac:dyDescent="0.25">
      <c r="A449" s="246" t="s">
        <v>386</v>
      </c>
      <c r="B449" s="246"/>
      <c r="C449" s="246"/>
      <c r="D449" s="246"/>
      <c r="E449" s="234"/>
      <c r="F449" s="234"/>
      <c r="G449" s="234"/>
      <c r="H449" s="258"/>
      <c r="I449" s="224"/>
    </row>
    <row r="450" spans="1:12" ht="29.25" customHeight="1" x14ac:dyDescent="0.25">
      <c r="A450" s="629" t="s">
        <v>309</v>
      </c>
      <c r="B450" s="629"/>
      <c r="C450" s="629"/>
      <c r="D450" s="629"/>
      <c r="E450" s="629"/>
      <c r="F450" s="88">
        <f>F452</f>
        <v>25000</v>
      </c>
      <c r="G450" s="88"/>
      <c r="H450" s="88">
        <f>H455</f>
        <v>4375</v>
      </c>
    </row>
    <row r="451" spans="1:12" x14ac:dyDescent="0.25">
      <c r="A451" s="626"/>
      <c r="B451" s="626"/>
      <c r="C451" s="626"/>
      <c r="D451" s="626"/>
      <c r="E451" s="626"/>
      <c r="F451" s="66"/>
      <c r="G451" s="66"/>
      <c r="H451" s="66"/>
    </row>
    <row r="452" spans="1:12" x14ac:dyDescent="0.25">
      <c r="A452" s="153">
        <v>4</v>
      </c>
      <c r="B452" s="153" t="s">
        <v>5</v>
      </c>
      <c r="C452" s="153"/>
      <c r="D452" s="153"/>
      <c r="E452" s="153"/>
      <c r="F452" s="73">
        <f>F453</f>
        <v>25000</v>
      </c>
      <c r="G452" s="73"/>
      <c r="H452" s="73"/>
    </row>
    <row r="453" spans="1:12" x14ac:dyDescent="0.25">
      <c r="A453" s="153">
        <v>42</v>
      </c>
      <c r="B453" s="153" t="s">
        <v>242</v>
      </c>
      <c r="C453" s="153"/>
      <c r="D453" s="153"/>
      <c r="E453" s="153"/>
      <c r="F453" s="73">
        <f>F454</f>
        <v>25000</v>
      </c>
      <c r="G453" s="73"/>
      <c r="H453" s="73"/>
    </row>
    <row r="454" spans="1:12" x14ac:dyDescent="0.25">
      <c r="A454" s="153">
        <v>421</v>
      </c>
      <c r="B454" s="608" t="s">
        <v>144</v>
      </c>
      <c r="C454" s="608"/>
      <c r="D454" s="608"/>
      <c r="E454" s="608"/>
      <c r="F454" s="73">
        <f>F455</f>
        <v>25000</v>
      </c>
      <c r="G454" s="73"/>
      <c r="H454" s="73"/>
    </row>
    <row r="455" spans="1:12" x14ac:dyDescent="0.25">
      <c r="A455" s="242">
        <v>4214</v>
      </c>
      <c r="B455" s="588" t="s">
        <v>310</v>
      </c>
      <c r="C455" s="588"/>
      <c r="D455" s="588"/>
      <c r="E455" s="588"/>
      <c r="F455" s="66">
        <v>25000</v>
      </c>
      <c r="G455" s="66">
        <v>45000</v>
      </c>
      <c r="H455" s="66">
        <v>4375</v>
      </c>
      <c r="I455" s="32" t="s">
        <v>833</v>
      </c>
      <c r="J455" s="32" t="s">
        <v>832</v>
      </c>
      <c r="L455" s="32" t="s">
        <v>456</v>
      </c>
    </row>
    <row r="456" spans="1:12" x14ac:dyDescent="0.25">
      <c r="A456" s="242"/>
      <c r="B456" s="238"/>
      <c r="C456" s="238"/>
      <c r="D456" s="238"/>
      <c r="E456" s="238"/>
      <c r="F456" s="66"/>
      <c r="G456" s="66"/>
      <c r="H456" s="66"/>
    </row>
    <row r="457" spans="1:12" x14ac:dyDescent="0.25">
      <c r="A457" s="246" t="s">
        <v>386</v>
      </c>
      <c r="B457" s="246"/>
      <c r="C457" s="246"/>
      <c r="D457" s="246"/>
      <c r="E457" s="234"/>
      <c r="F457" s="234"/>
      <c r="G457" s="234"/>
      <c r="H457" s="258"/>
      <c r="I457" s="224"/>
    </row>
    <row r="458" spans="1:12" x14ac:dyDescent="0.25">
      <c r="A458" s="90" t="s">
        <v>446</v>
      </c>
      <c r="B458" s="90"/>
      <c r="C458" s="90"/>
      <c r="D458" s="90"/>
      <c r="E458" s="90"/>
      <c r="F458" s="144"/>
      <c r="G458" s="144"/>
      <c r="H458" s="206"/>
    </row>
    <row r="459" spans="1:12" x14ac:dyDescent="0.25">
      <c r="A459" s="606" t="s">
        <v>447</v>
      </c>
      <c r="B459" s="606"/>
      <c r="C459" s="606"/>
      <c r="D459" s="606"/>
      <c r="E459" s="606"/>
      <c r="F459" s="144">
        <f>F461+F465</f>
        <v>14500</v>
      </c>
      <c r="G459" s="144"/>
      <c r="H459" s="96">
        <f>H464</f>
        <v>1191.99</v>
      </c>
    </row>
    <row r="460" spans="1:12" x14ac:dyDescent="0.25">
      <c r="A460" s="242"/>
      <c r="B460" s="65"/>
      <c r="C460" s="65"/>
      <c r="D460" s="65"/>
      <c r="E460" s="65"/>
      <c r="F460" s="66"/>
      <c r="G460" s="66"/>
      <c r="H460" s="66"/>
    </row>
    <row r="461" spans="1:12" x14ac:dyDescent="0.25">
      <c r="A461" s="153">
        <v>3</v>
      </c>
      <c r="B461" s="153" t="s">
        <v>18</v>
      </c>
      <c r="C461" s="153"/>
      <c r="D461" s="153"/>
      <c r="E461" s="153"/>
      <c r="F461" s="73">
        <f t="shared" ref="F461:F462" si="23">F462</f>
        <v>2500</v>
      </c>
      <c r="G461" s="73"/>
      <c r="H461" s="73"/>
    </row>
    <row r="462" spans="1:12" x14ac:dyDescent="0.25">
      <c r="A462" s="153">
        <v>32</v>
      </c>
      <c r="B462" s="153" t="s">
        <v>132</v>
      </c>
      <c r="C462" s="153"/>
      <c r="D462" s="153"/>
      <c r="E462" s="153"/>
      <c r="F462" s="73">
        <f t="shared" si="23"/>
        <v>2500</v>
      </c>
      <c r="G462" s="73"/>
      <c r="H462" s="73"/>
    </row>
    <row r="463" spans="1:12" x14ac:dyDescent="0.25">
      <c r="A463" s="153">
        <v>323</v>
      </c>
      <c r="B463" s="153" t="s">
        <v>135</v>
      </c>
      <c r="C463" s="153"/>
      <c r="D463" s="153"/>
      <c r="E463" s="153"/>
      <c r="F463" s="73">
        <f>F464</f>
        <v>2500</v>
      </c>
      <c r="G463" s="73"/>
      <c r="H463" s="73"/>
    </row>
    <row r="464" spans="1:12" x14ac:dyDescent="0.25">
      <c r="A464" s="242">
        <v>3232</v>
      </c>
      <c r="B464" s="65" t="s">
        <v>694</v>
      </c>
      <c r="C464" s="65"/>
      <c r="D464" s="65"/>
      <c r="E464" s="65"/>
      <c r="F464" s="66">
        <v>2500</v>
      </c>
      <c r="G464" s="66">
        <v>1500</v>
      </c>
      <c r="H464" s="66">
        <f>17.4+351.74+822.85</f>
        <v>1191.99</v>
      </c>
    </row>
    <row r="465" spans="1:16" x14ac:dyDescent="0.25">
      <c r="A465" s="153">
        <v>4</v>
      </c>
      <c r="B465" s="153" t="s">
        <v>199</v>
      </c>
      <c r="C465" s="153"/>
      <c r="D465" s="153"/>
      <c r="E465" s="153"/>
      <c r="F465" s="73">
        <f t="shared" ref="F465:F467" si="24">F466</f>
        <v>12000</v>
      </c>
      <c r="G465" s="73"/>
      <c r="H465" s="73"/>
    </row>
    <row r="466" spans="1:16" x14ac:dyDescent="0.25">
      <c r="A466" s="153">
        <v>45</v>
      </c>
      <c r="B466" s="607" t="s">
        <v>239</v>
      </c>
      <c r="C466" s="607"/>
      <c r="D466" s="607"/>
      <c r="E466" s="607"/>
      <c r="F466" s="73">
        <f t="shared" si="24"/>
        <v>12000</v>
      </c>
      <c r="G466" s="73"/>
      <c r="H466" s="73"/>
    </row>
    <row r="467" spans="1:16" x14ac:dyDescent="0.25">
      <c r="A467" s="153">
        <v>451</v>
      </c>
      <c r="B467" s="153" t="s">
        <v>240</v>
      </c>
      <c r="C467" s="153"/>
      <c r="D467" s="153"/>
      <c r="E467" s="153"/>
      <c r="F467" s="73">
        <f t="shared" si="24"/>
        <v>12000</v>
      </c>
      <c r="G467" s="73"/>
      <c r="H467" s="73"/>
    </row>
    <row r="468" spans="1:16" x14ac:dyDescent="0.25">
      <c r="A468" s="65">
        <v>4511</v>
      </c>
      <c r="B468" s="65" t="s">
        <v>459</v>
      </c>
      <c r="C468" s="65"/>
      <c r="D468" s="65"/>
      <c r="E468" s="65"/>
      <c r="F468" s="66">
        <v>12000</v>
      </c>
      <c r="G468" s="66"/>
      <c r="H468" s="66"/>
      <c r="I468" s="32" t="s">
        <v>686</v>
      </c>
    </row>
    <row r="469" spans="1:16" x14ac:dyDescent="0.25">
      <c r="A469" s="65"/>
      <c r="B469" s="65"/>
      <c r="C469" s="65"/>
      <c r="D469" s="65"/>
      <c r="E469" s="65"/>
      <c r="F469" s="66"/>
      <c r="G469" s="66"/>
      <c r="H469" s="66"/>
    </row>
    <row r="470" spans="1:16" x14ac:dyDescent="0.25">
      <c r="A470" s="246" t="s">
        <v>386</v>
      </c>
      <c r="B470" s="246"/>
      <c r="C470" s="246"/>
      <c r="D470" s="246"/>
      <c r="E470" s="234"/>
      <c r="F470" s="234"/>
      <c r="G470" s="234"/>
      <c r="H470" s="258"/>
      <c r="I470" s="224"/>
    </row>
    <row r="471" spans="1:16" x14ac:dyDescent="0.25">
      <c r="A471" s="259" t="s">
        <v>445</v>
      </c>
      <c r="B471" s="259"/>
      <c r="C471" s="259"/>
      <c r="D471" s="259"/>
      <c r="E471" s="259"/>
      <c r="F471" s="88">
        <f>F473</f>
        <v>8000</v>
      </c>
      <c r="G471" s="88"/>
      <c r="H471" s="88">
        <f>H476+H478</f>
        <v>9126.0400000000009</v>
      </c>
    </row>
    <row r="472" spans="1:16" x14ac:dyDescent="0.25">
      <c r="A472" s="239"/>
      <c r="B472" s="239"/>
      <c r="C472" s="239"/>
      <c r="D472" s="239"/>
      <c r="E472" s="239"/>
      <c r="F472" s="227"/>
      <c r="G472" s="66"/>
      <c r="H472" s="66"/>
    </row>
    <row r="473" spans="1:16" x14ac:dyDescent="0.25">
      <c r="A473" s="255">
        <v>3</v>
      </c>
      <c r="B473" s="255" t="s">
        <v>18</v>
      </c>
      <c r="C473" s="239"/>
      <c r="D473" s="239"/>
      <c r="E473" s="239"/>
      <c r="F473" s="228">
        <f>F474</f>
        <v>8000</v>
      </c>
      <c r="G473" s="73"/>
      <c r="H473" s="73"/>
    </row>
    <row r="474" spans="1:16" x14ac:dyDescent="0.25">
      <c r="A474" s="153">
        <v>32</v>
      </c>
      <c r="B474" s="153" t="s">
        <v>132</v>
      </c>
      <c r="C474" s="239"/>
      <c r="D474" s="239"/>
      <c r="E474" s="239"/>
      <c r="F474" s="228">
        <f>F475+F477</f>
        <v>8000</v>
      </c>
      <c r="G474" s="73"/>
      <c r="H474" s="73"/>
    </row>
    <row r="475" spans="1:16" x14ac:dyDescent="0.25">
      <c r="A475" s="153">
        <v>322</v>
      </c>
      <c r="B475" s="153" t="s">
        <v>134</v>
      </c>
      <c r="C475" s="239"/>
      <c r="D475" s="239"/>
      <c r="E475" s="239"/>
      <c r="F475" s="228">
        <f>F476</f>
        <v>4000</v>
      </c>
      <c r="G475" s="73"/>
      <c r="H475" s="73"/>
    </row>
    <row r="476" spans="1:16" x14ac:dyDescent="0.25">
      <c r="A476" s="239" t="s">
        <v>466</v>
      </c>
      <c r="B476" s="239"/>
      <c r="C476" s="239"/>
      <c r="D476" s="239"/>
      <c r="E476" s="239"/>
      <c r="F476" s="227">
        <v>4000</v>
      </c>
      <c r="G476" s="66">
        <v>6000</v>
      </c>
      <c r="H476" s="66">
        <f>6125.45</f>
        <v>6125.45</v>
      </c>
      <c r="I476" s="32" t="s">
        <v>670</v>
      </c>
    </row>
    <row r="477" spans="1:16" x14ac:dyDescent="0.25">
      <c r="A477" s="153">
        <v>323</v>
      </c>
      <c r="B477" s="153" t="s">
        <v>135</v>
      </c>
      <c r="C477" s="153"/>
      <c r="D477" s="239"/>
      <c r="E477" s="239"/>
      <c r="F477" s="228">
        <f>F478</f>
        <v>4000</v>
      </c>
      <c r="G477" s="73"/>
      <c r="H477" s="73"/>
    </row>
    <row r="478" spans="1:16" x14ac:dyDescent="0.25">
      <c r="A478" s="239" t="s">
        <v>465</v>
      </c>
      <c r="B478" s="239"/>
      <c r="C478" s="239"/>
      <c r="D478" s="239"/>
      <c r="E478" s="239"/>
      <c r="F478" s="227">
        <v>4000</v>
      </c>
      <c r="G478" s="66">
        <v>5000</v>
      </c>
      <c r="H478" s="66">
        <f>1944.34+400+656.25</f>
        <v>3000.59</v>
      </c>
      <c r="I478" s="32" t="s">
        <v>845</v>
      </c>
    </row>
    <row r="479" spans="1:16" x14ac:dyDescent="0.25">
      <c r="A479" s="65"/>
      <c r="B479" s="238"/>
      <c r="C479" s="238"/>
      <c r="D479" s="238"/>
      <c r="E479" s="238"/>
      <c r="F479" s="227"/>
      <c r="G479" s="66"/>
      <c r="H479" s="66"/>
    </row>
    <row r="480" spans="1:16" ht="3" customHeight="1" x14ac:dyDescent="0.25">
      <c r="A480" s="617" t="s">
        <v>416</v>
      </c>
      <c r="B480" s="617"/>
      <c r="C480" s="617"/>
      <c r="D480" s="617"/>
      <c r="E480" s="617"/>
      <c r="F480" s="144"/>
      <c r="G480" s="144"/>
      <c r="H480" s="206"/>
      <c r="I480" s="624"/>
      <c r="J480" s="624"/>
      <c r="K480"/>
      <c r="L480"/>
      <c r="M480"/>
      <c r="N480"/>
      <c r="O480"/>
      <c r="P480"/>
    </row>
    <row r="481" spans="1:16" hidden="1" x14ac:dyDescent="0.25">
      <c r="A481" s="614" t="s">
        <v>245</v>
      </c>
      <c r="B481" s="614"/>
      <c r="C481" s="614"/>
      <c r="D481" s="614"/>
      <c r="E481" s="614"/>
      <c r="F481" s="144">
        <f>F485</f>
        <v>30000</v>
      </c>
      <c r="G481" s="144"/>
      <c r="H481" s="96">
        <f>H487</f>
        <v>34407.31</v>
      </c>
      <c r="I481" s="624"/>
      <c r="J481" s="624"/>
      <c r="K481"/>
      <c r="L481"/>
      <c r="M481"/>
      <c r="N481"/>
      <c r="O481"/>
      <c r="P481"/>
    </row>
    <row r="482" spans="1:16" hidden="1" x14ac:dyDescent="0.25">
      <c r="A482" s="625" t="s">
        <v>66</v>
      </c>
      <c r="B482" s="625"/>
      <c r="C482" s="625"/>
      <c r="D482" s="625"/>
      <c r="E482" s="625"/>
      <c r="F482" s="40"/>
      <c r="G482" s="40"/>
      <c r="H482" s="66"/>
      <c r="I482" s="71"/>
      <c r="J482" s="71"/>
      <c r="K482"/>
      <c r="L482"/>
      <c r="M482"/>
      <c r="N482"/>
      <c r="O482"/>
      <c r="P482"/>
    </row>
    <row r="483" spans="1:16" hidden="1" x14ac:dyDescent="0.25">
      <c r="A483" s="625" t="s">
        <v>65</v>
      </c>
      <c r="B483" s="625"/>
      <c r="C483" s="625"/>
      <c r="D483" s="625"/>
      <c r="E483" s="625"/>
      <c r="F483" s="40"/>
      <c r="G483" s="40"/>
      <c r="H483" s="66"/>
      <c r="I483" s="71"/>
      <c r="J483" s="71"/>
      <c r="K483"/>
      <c r="L483"/>
      <c r="M483"/>
      <c r="N483"/>
      <c r="O483"/>
      <c r="P483"/>
    </row>
    <row r="484" spans="1:16" hidden="1" x14ac:dyDescent="0.25">
      <c r="A484" s="248"/>
      <c r="B484" s="248"/>
      <c r="C484" s="248"/>
      <c r="D484" s="248"/>
      <c r="E484" s="248"/>
      <c r="F484" s="66"/>
      <c r="G484" s="66"/>
      <c r="H484" s="66"/>
      <c r="I484" s="71"/>
      <c r="J484" s="71"/>
      <c r="K484"/>
      <c r="L484"/>
      <c r="M484"/>
      <c r="N484"/>
      <c r="O484"/>
      <c r="P484"/>
    </row>
    <row r="485" spans="1:16" hidden="1" x14ac:dyDescent="0.25">
      <c r="A485" s="153">
        <v>45</v>
      </c>
      <c r="B485" s="153" t="s">
        <v>246</v>
      </c>
      <c r="C485" s="153"/>
      <c r="D485" s="153"/>
      <c r="E485" s="153"/>
      <c r="F485" s="73">
        <f>F486</f>
        <v>30000</v>
      </c>
      <c r="G485" s="73"/>
      <c r="H485" s="73"/>
      <c r="I485" s="77"/>
      <c r="J485" s="77"/>
      <c r="K485"/>
      <c r="L485"/>
      <c r="M485"/>
      <c r="N485"/>
      <c r="O485"/>
      <c r="P485"/>
    </row>
    <row r="486" spans="1:16" hidden="1" x14ac:dyDescent="0.25">
      <c r="A486" s="153">
        <v>451</v>
      </c>
      <c r="B486" s="153" t="s">
        <v>247</v>
      </c>
      <c r="C486" s="153"/>
      <c r="D486" s="153"/>
      <c r="E486" s="153"/>
      <c r="F486" s="73">
        <f>F487</f>
        <v>30000</v>
      </c>
      <c r="G486" s="73"/>
      <c r="H486" s="73"/>
      <c r="I486" s="77"/>
      <c r="J486" s="77"/>
      <c r="K486"/>
      <c r="L486"/>
      <c r="M486"/>
      <c r="N486"/>
      <c r="O486"/>
      <c r="P486"/>
    </row>
    <row r="487" spans="1:16" hidden="1" x14ac:dyDescent="0.25">
      <c r="A487" s="65">
        <v>4511</v>
      </c>
      <c r="B487" s="588" t="s">
        <v>689</v>
      </c>
      <c r="C487" s="588"/>
      <c r="D487" s="588"/>
      <c r="E487" s="588"/>
      <c r="F487" s="66">
        <v>30000</v>
      </c>
      <c r="G487" s="66"/>
      <c r="H487" s="66">
        <v>34407.31</v>
      </c>
      <c r="I487" s="71" t="s">
        <v>687</v>
      </c>
      <c r="J487" s="71"/>
      <c r="K487" s="71"/>
      <c r="L487"/>
      <c r="M487"/>
      <c r="N487"/>
      <c r="O487"/>
      <c r="P487"/>
    </row>
    <row r="488" spans="1:16" hidden="1" x14ac:dyDescent="0.25">
      <c r="A488" s="65"/>
      <c r="B488" s="238"/>
      <c r="C488" s="238"/>
      <c r="D488" s="238"/>
      <c r="E488" s="238"/>
      <c r="F488" s="66"/>
      <c r="G488" s="66"/>
      <c r="H488" s="66"/>
      <c r="I488" s="71"/>
      <c r="J488" s="71"/>
      <c r="K488" s="71"/>
      <c r="L488"/>
      <c r="M488"/>
      <c r="N488"/>
      <c r="O488"/>
      <c r="P488"/>
    </row>
    <row r="489" spans="1:16" x14ac:dyDescent="0.25">
      <c r="A489" s="617" t="s">
        <v>739</v>
      </c>
      <c r="B489" s="617"/>
      <c r="C489" s="617"/>
      <c r="D489" s="617"/>
      <c r="E489" s="617"/>
      <c r="F489" s="144"/>
      <c r="G489" s="144"/>
      <c r="H489" s="206"/>
      <c r="I489" s="624"/>
      <c r="J489" s="624"/>
      <c r="K489"/>
      <c r="L489"/>
      <c r="M489"/>
      <c r="N489"/>
      <c r="O489"/>
      <c r="P489"/>
    </row>
    <row r="490" spans="1:16" x14ac:dyDescent="0.25">
      <c r="A490" s="614" t="s">
        <v>245</v>
      </c>
      <c r="B490" s="614"/>
      <c r="C490" s="614"/>
      <c r="D490" s="614"/>
      <c r="E490" s="614"/>
      <c r="F490" s="144"/>
      <c r="G490" s="144"/>
      <c r="H490" s="96">
        <f>H496</f>
        <v>0</v>
      </c>
      <c r="I490" s="624"/>
      <c r="J490" s="624"/>
      <c r="K490"/>
      <c r="L490"/>
      <c r="M490"/>
      <c r="N490"/>
      <c r="O490"/>
      <c r="P490"/>
    </row>
    <row r="491" spans="1:16" x14ac:dyDescent="0.25">
      <c r="A491" s="625" t="s">
        <v>66</v>
      </c>
      <c r="B491" s="625"/>
      <c r="C491" s="625"/>
      <c r="D491" s="625"/>
      <c r="E491" s="625"/>
      <c r="F491" s="40"/>
      <c r="G491" s="40"/>
      <c r="H491" s="66"/>
      <c r="I491" s="71"/>
      <c r="J491" s="71"/>
      <c r="K491"/>
      <c r="L491"/>
      <c r="M491"/>
      <c r="N491"/>
      <c r="O491"/>
      <c r="P491"/>
    </row>
    <row r="492" spans="1:16" x14ac:dyDescent="0.25">
      <c r="A492" s="625" t="s">
        <v>65</v>
      </c>
      <c r="B492" s="625"/>
      <c r="C492" s="625"/>
      <c r="D492" s="625"/>
      <c r="E492" s="625"/>
      <c r="F492" s="40"/>
      <c r="G492" s="40"/>
      <c r="H492" s="66"/>
      <c r="I492" s="71"/>
      <c r="J492" s="71"/>
      <c r="K492"/>
      <c r="L492"/>
      <c r="M492"/>
      <c r="N492"/>
      <c r="O492"/>
      <c r="P492"/>
    </row>
    <row r="493" spans="1:16" x14ac:dyDescent="0.25">
      <c r="A493" s="248"/>
      <c r="B493" s="248"/>
      <c r="C493" s="248"/>
      <c r="D493" s="248"/>
      <c r="E493" s="248"/>
      <c r="F493" s="66"/>
      <c r="G493" s="66"/>
      <c r="H493" s="66"/>
      <c r="I493" s="71"/>
      <c r="J493" s="71"/>
      <c r="K493"/>
      <c r="L493"/>
      <c r="M493"/>
      <c r="N493"/>
      <c r="O493"/>
      <c r="P493"/>
    </row>
    <row r="494" spans="1:16" x14ac:dyDescent="0.25">
      <c r="A494" s="153">
        <v>45</v>
      </c>
      <c r="B494" s="153" t="s">
        <v>246</v>
      </c>
      <c r="C494" s="153"/>
      <c r="D494" s="153"/>
      <c r="E494" s="153"/>
      <c r="F494" s="73"/>
      <c r="G494" s="73"/>
      <c r="H494" s="73"/>
      <c r="I494" s="77"/>
      <c r="J494" s="77"/>
      <c r="K494"/>
      <c r="L494"/>
      <c r="M494"/>
      <c r="N494"/>
      <c r="O494"/>
      <c r="P494"/>
    </row>
    <row r="495" spans="1:16" x14ac:dyDescent="0.25">
      <c r="A495" s="153">
        <v>42</v>
      </c>
      <c r="B495" s="153" t="s">
        <v>242</v>
      </c>
      <c r="C495" s="153"/>
      <c r="D495" s="153"/>
      <c r="E495" s="153"/>
      <c r="F495" s="73"/>
      <c r="G495" s="73"/>
      <c r="H495" s="73"/>
      <c r="I495" s="77"/>
      <c r="J495" s="77"/>
      <c r="K495"/>
      <c r="L495"/>
      <c r="M495"/>
      <c r="N495"/>
      <c r="O495"/>
      <c r="P495"/>
    </row>
    <row r="496" spans="1:16" x14ac:dyDescent="0.25">
      <c r="A496" s="65">
        <v>4214</v>
      </c>
      <c r="B496" s="588" t="s">
        <v>740</v>
      </c>
      <c r="C496" s="588"/>
      <c r="D496" s="588"/>
      <c r="E496" s="588"/>
      <c r="F496" s="66">
        <v>0</v>
      </c>
      <c r="G496" s="66">
        <v>150000</v>
      </c>
      <c r="H496" s="66"/>
      <c r="I496" s="71"/>
      <c r="J496" s="71"/>
      <c r="K496" s="71"/>
      <c r="L496"/>
      <c r="M496"/>
      <c r="N496"/>
      <c r="O496"/>
      <c r="P496"/>
    </row>
    <row r="497" spans="1:16" x14ac:dyDescent="0.25">
      <c r="A497" s="242"/>
      <c r="B497" s="65"/>
      <c r="C497" s="65"/>
      <c r="D497" s="65"/>
      <c r="E497" s="65"/>
      <c r="F497" s="66"/>
      <c r="G497" s="66"/>
      <c r="H497" s="66"/>
    </row>
    <row r="498" spans="1:16" x14ac:dyDescent="0.25">
      <c r="A498" s="492" t="s">
        <v>372</v>
      </c>
      <c r="B498" s="493"/>
      <c r="C498" s="493"/>
      <c r="D498" s="493"/>
      <c r="E498" s="494"/>
      <c r="F498" s="98">
        <f>F500</f>
        <v>104000</v>
      </c>
      <c r="G498" s="98"/>
      <c r="H498" s="98">
        <f t="shared" ref="H498" si="25">H500</f>
        <v>3968.03</v>
      </c>
    </row>
    <row r="499" spans="1:16" x14ac:dyDescent="0.25">
      <c r="A499" s="246" t="s">
        <v>386</v>
      </c>
      <c r="B499" s="246"/>
      <c r="C499" s="246"/>
      <c r="D499" s="246"/>
      <c r="E499" s="234"/>
      <c r="F499" s="234"/>
      <c r="G499" s="234"/>
      <c r="H499" s="258"/>
      <c r="I499" s="224"/>
    </row>
    <row r="500" spans="1:16" ht="15.75" x14ac:dyDescent="0.25">
      <c r="A500" s="609" t="s">
        <v>98</v>
      </c>
      <c r="B500" s="609"/>
      <c r="C500" s="609"/>
      <c r="D500" s="609"/>
      <c r="E500" s="609"/>
      <c r="F500" s="87">
        <f>F502+F506</f>
        <v>104000</v>
      </c>
      <c r="G500" s="87"/>
      <c r="H500" s="88">
        <f>H505+H511+H514+H509</f>
        <v>3968.03</v>
      </c>
    </row>
    <row r="501" spans="1:16" x14ac:dyDescent="0.25">
      <c r="A501" s="242"/>
      <c r="B501" s="65"/>
      <c r="C501" s="65"/>
      <c r="D501" s="65"/>
      <c r="E501" s="65"/>
      <c r="F501" s="66"/>
      <c r="G501" s="66"/>
      <c r="H501" s="66"/>
    </row>
    <row r="502" spans="1:16" x14ac:dyDescent="0.25">
      <c r="A502" s="153">
        <v>4</v>
      </c>
      <c r="B502" s="153" t="s">
        <v>5</v>
      </c>
      <c r="C502" s="153"/>
      <c r="D502" s="153"/>
      <c r="E502" s="153"/>
      <c r="F502" s="73">
        <f>F503</f>
        <v>100000</v>
      </c>
      <c r="G502" s="73"/>
      <c r="H502" s="73"/>
    </row>
    <row r="503" spans="1:16" x14ac:dyDescent="0.25">
      <c r="A503" s="153">
        <v>42</v>
      </c>
      <c r="B503" s="153" t="s">
        <v>242</v>
      </c>
      <c r="C503" s="153"/>
      <c r="D503" s="153"/>
      <c r="E503" s="153"/>
      <c r="F503" s="73">
        <f>F504</f>
        <v>100000</v>
      </c>
      <c r="G503" s="73"/>
      <c r="H503" s="73"/>
    </row>
    <row r="504" spans="1:16" x14ac:dyDescent="0.25">
      <c r="A504" s="153">
        <v>421</v>
      </c>
      <c r="B504" s="153" t="s">
        <v>144</v>
      </c>
      <c r="C504" s="153"/>
      <c r="D504" s="153"/>
      <c r="E504" s="153"/>
      <c r="F504" s="73">
        <f>F505</f>
        <v>100000</v>
      </c>
      <c r="G504" s="73"/>
      <c r="H504" s="73"/>
    </row>
    <row r="505" spans="1:16" x14ac:dyDescent="0.25">
      <c r="A505" s="242">
        <v>4214</v>
      </c>
      <c r="B505" s="65" t="s">
        <v>243</v>
      </c>
      <c r="C505" s="65"/>
      <c r="D505" s="65"/>
      <c r="E505" s="65"/>
      <c r="F505" s="66">
        <v>100000</v>
      </c>
      <c r="G505" s="66">
        <v>100000</v>
      </c>
      <c r="H505" s="66"/>
      <c r="I505" s="32" t="s">
        <v>463</v>
      </c>
      <c r="J505" s="32" t="s">
        <v>671</v>
      </c>
      <c r="L505" s="32" t="s">
        <v>672</v>
      </c>
      <c r="M505" s="32" t="s">
        <v>832</v>
      </c>
    </row>
    <row r="506" spans="1:16" ht="17.25" customHeight="1" x14ac:dyDescent="0.25">
      <c r="A506" s="260">
        <v>3</v>
      </c>
      <c r="B506" s="256" t="s">
        <v>18</v>
      </c>
      <c r="C506" s="256"/>
      <c r="D506" s="256"/>
      <c r="E506" s="256"/>
      <c r="F506" s="73">
        <f>F507+F512</f>
        <v>4000</v>
      </c>
      <c r="G506" s="73"/>
      <c r="H506" s="73"/>
    </row>
    <row r="507" spans="1:16" ht="15.75" customHeight="1" x14ac:dyDescent="0.25">
      <c r="A507" s="256" t="s">
        <v>476</v>
      </c>
      <c r="B507" s="256"/>
      <c r="C507" s="256"/>
      <c r="D507" s="256"/>
      <c r="E507" s="256"/>
      <c r="F507" s="73">
        <f>F508+F510</f>
        <v>2000</v>
      </c>
      <c r="G507" s="73"/>
      <c r="H507" s="73"/>
    </row>
    <row r="508" spans="1:16" ht="15" customHeight="1" x14ac:dyDescent="0.25">
      <c r="A508" s="260">
        <v>322</v>
      </c>
      <c r="B508" s="610" t="s">
        <v>134</v>
      </c>
      <c r="C508" s="610"/>
      <c r="D508" s="610"/>
      <c r="E508" s="610"/>
      <c r="F508" s="73">
        <f>F509</f>
        <v>1000</v>
      </c>
      <c r="G508" s="73"/>
      <c r="H508" s="73"/>
    </row>
    <row r="509" spans="1:16" ht="16.5" customHeight="1" x14ac:dyDescent="0.25">
      <c r="A509" s="261">
        <v>3224</v>
      </c>
      <c r="B509" s="239" t="s">
        <v>244</v>
      </c>
      <c r="C509" s="239"/>
      <c r="D509" s="239"/>
      <c r="E509" s="239"/>
      <c r="F509" s="66">
        <v>1000</v>
      </c>
      <c r="G509" s="66">
        <v>2000</v>
      </c>
      <c r="H509" s="66">
        <f>22.2+45.83</f>
        <v>68.03</v>
      </c>
    </row>
    <row r="510" spans="1:16" ht="15.75" customHeight="1" x14ac:dyDescent="0.25">
      <c r="A510" s="610" t="s">
        <v>477</v>
      </c>
      <c r="B510" s="610"/>
      <c r="C510" s="610"/>
      <c r="D510" s="610"/>
      <c r="E510" s="610"/>
      <c r="F510" s="73">
        <f>F511</f>
        <v>1000</v>
      </c>
      <c r="G510" s="73"/>
      <c r="H510" s="73"/>
    </row>
    <row r="511" spans="1:16" ht="12.75" customHeight="1" x14ac:dyDescent="0.25">
      <c r="A511" s="261">
        <v>3232</v>
      </c>
      <c r="B511" s="239" t="s">
        <v>241</v>
      </c>
      <c r="C511" s="239"/>
      <c r="D511" s="239"/>
      <c r="E511" s="239"/>
      <c r="F511" s="66">
        <v>1000</v>
      </c>
      <c r="G511" s="66">
        <v>2000</v>
      </c>
      <c r="H511" s="66"/>
    </row>
    <row r="512" spans="1:16" s="111" customFormat="1" ht="16.5" customHeight="1" x14ac:dyDescent="0.25">
      <c r="A512" s="260">
        <v>38</v>
      </c>
      <c r="B512" s="256" t="s">
        <v>154</v>
      </c>
      <c r="C512" s="256"/>
      <c r="D512" s="256"/>
      <c r="E512" s="256"/>
      <c r="F512" s="73">
        <f>F513</f>
        <v>2000</v>
      </c>
      <c r="G512" s="73"/>
      <c r="H512" s="73"/>
      <c r="I512" s="151"/>
      <c r="J512" s="151"/>
      <c r="K512" s="151"/>
      <c r="L512" s="151"/>
      <c r="M512" s="151"/>
      <c r="N512" s="151"/>
      <c r="O512" s="151"/>
      <c r="P512" s="151"/>
    </row>
    <row r="513" spans="1:16" s="111" customFormat="1" ht="13.5" customHeight="1" x14ac:dyDescent="0.25">
      <c r="A513" s="260">
        <v>381</v>
      </c>
      <c r="B513" s="256" t="s">
        <v>143</v>
      </c>
      <c r="C513" s="256"/>
      <c r="D513" s="256"/>
      <c r="E513" s="256"/>
      <c r="F513" s="73">
        <f>F514</f>
        <v>2000</v>
      </c>
      <c r="G513" s="73"/>
      <c r="H513" s="73"/>
      <c r="I513" s="151"/>
      <c r="J513" s="151"/>
      <c r="K513" s="151"/>
      <c r="L513" s="151"/>
      <c r="M513" s="151"/>
      <c r="N513" s="151"/>
      <c r="O513" s="151"/>
      <c r="P513" s="151"/>
    </row>
    <row r="514" spans="1:16" ht="14.25" customHeight="1" x14ac:dyDescent="0.25">
      <c r="A514" s="261">
        <v>3811</v>
      </c>
      <c r="B514" s="239" t="s">
        <v>464</v>
      </c>
      <c r="C514" s="239"/>
      <c r="D514" s="239"/>
      <c r="E514" s="239"/>
      <c r="F514" s="66">
        <v>2000</v>
      </c>
      <c r="G514" s="66">
        <v>3000</v>
      </c>
      <c r="H514" s="66">
        <v>3900</v>
      </c>
    </row>
    <row r="515" spans="1:16" x14ac:dyDescent="0.25">
      <c r="A515" s="153"/>
      <c r="B515" s="243"/>
      <c r="C515" s="243"/>
      <c r="D515" s="243"/>
      <c r="E515" s="243"/>
      <c r="F515" s="66"/>
      <c r="G515" s="66"/>
      <c r="H515" s="66"/>
    </row>
    <row r="516" spans="1:16" x14ac:dyDescent="0.25">
      <c r="A516" s="83" t="s">
        <v>248</v>
      </c>
      <c r="B516" s="83"/>
      <c r="C516" s="83"/>
      <c r="D516" s="83"/>
      <c r="E516" s="83"/>
      <c r="F516" s="84">
        <f>F517+F568+F602</f>
        <v>370766</v>
      </c>
      <c r="G516" s="84"/>
      <c r="H516" s="84">
        <f>H517+H568+H602+H593</f>
        <v>228122.48</v>
      </c>
    </row>
    <row r="517" spans="1:16" x14ac:dyDescent="0.25">
      <c r="A517" s="289" t="s">
        <v>373</v>
      </c>
      <c r="B517" s="289"/>
      <c r="C517" s="289"/>
      <c r="D517" s="289"/>
      <c r="E517" s="145"/>
      <c r="F517" s="76">
        <f>F519</f>
        <v>345966</v>
      </c>
      <c r="G517" s="76"/>
      <c r="H517" s="76">
        <f t="shared" ref="H517" si="26">H519</f>
        <v>212542.32</v>
      </c>
    </row>
    <row r="518" spans="1:16" x14ac:dyDescent="0.25">
      <c r="A518" s="246" t="s">
        <v>397</v>
      </c>
      <c r="B518" s="246"/>
      <c r="C518" s="246"/>
      <c r="D518" s="246"/>
      <c r="E518" s="234"/>
      <c r="F518" s="234"/>
      <c r="G518" s="234"/>
      <c r="H518" s="258"/>
      <c r="I518" s="224"/>
    </row>
    <row r="519" spans="1:16" x14ac:dyDescent="0.25">
      <c r="A519" s="90" t="s">
        <v>249</v>
      </c>
      <c r="B519" s="93"/>
      <c r="C519" s="93"/>
      <c r="D519" s="93"/>
      <c r="E519" s="93"/>
      <c r="F519" s="87">
        <f>F522+F563</f>
        <v>345966</v>
      </c>
      <c r="G519" s="87"/>
      <c r="H519" s="88">
        <v>212542.32</v>
      </c>
    </row>
    <row r="520" spans="1:16" x14ac:dyDescent="0.25">
      <c r="A520" s="622" t="s">
        <v>78</v>
      </c>
      <c r="B520" s="622"/>
      <c r="C520" s="622"/>
      <c r="D520" s="622"/>
      <c r="E520" s="622"/>
      <c r="F520" s="99"/>
      <c r="G520" s="99"/>
      <c r="H520" s="66"/>
    </row>
    <row r="521" spans="1:16" x14ac:dyDescent="0.25">
      <c r="A521" s="257"/>
      <c r="B521" s="262"/>
      <c r="C521" s="262"/>
      <c r="D521" s="262"/>
      <c r="E521" s="262"/>
      <c r="F521" s="229"/>
      <c r="G521" s="229"/>
      <c r="H521" s="226"/>
    </row>
    <row r="522" spans="1:16" x14ac:dyDescent="0.25">
      <c r="A522" s="255">
        <v>3</v>
      </c>
      <c r="B522" s="255" t="s">
        <v>18</v>
      </c>
      <c r="C522" s="255"/>
      <c r="D522" s="255"/>
      <c r="E522" s="255"/>
      <c r="F522" s="228">
        <f>F523+F530+F558</f>
        <v>341466</v>
      </c>
      <c r="G522" s="228"/>
      <c r="H522" s="73"/>
    </row>
    <row r="523" spans="1:16" x14ac:dyDescent="0.25">
      <c r="A523" s="153">
        <v>31</v>
      </c>
      <c r="B523" s="153" t="s">
        <v>128</v>
      </c>
      <c r="C523" s="153"/>
      <c r="D523" s="153"/>
      <c r="E523" s="153"/>
      <c r="F523" s="73">
        <f>F524+F526+F528</f>
        <v>273940</v>
      </c>
      <c r="G523" s="73"/>
      <c r="H523" s="73"/>
    </row>
    <row r="524" spans="1:16" x14ac:dyDescent="0.25">
      <c r="A524" s="153">
        <v>311</v>
      </c>
      <c r="B524" s="153" t="s">
        <v>167</v>
      </c>
      <c r="C524" s="153"/>
      <c r="D524" s="153"/>
      <c r="E524" s="153"/>
      <c r="F524" s="73">
        <f>F525</f>
        <v>225400</v>
      </c>
      <c r="G524" s="73"/>
      <c r="H524" s="73"/>
    </row>
    <row r="525" spans="1:16" x14ac:dyDescent="0.25">
      <c r="A525" s="242">
        <v>3111</v>
      </c>
      <c r="B525" s="242" t="s">
        <v>250</v>
      </c>
      <c r="C525" s="242"/>
      <c r="D525" s="242"/>
      <c r="E525" s="242"/>
      <c r="F525" s="66">
        <v>225400</v>
      </c>
      <c r="G525" s="66">
        <v>263920</v>
      </c>
      <c r="H525" s="66"/>
    </row>
    <row r="526" spans="1:16" x14ac:dyDescent="0.25">
      <c r="A526" s="153">
        <v>312</v>
      </c>
      <c r="B526" s="153" t="s">
        <v>130</v>
      </c>
      <c r="C526" s="153"/>
      <c r="D526" s="153"/>
      <c r="E526" s="153"/>
      <c r="F526" s="73">
        <f>F527</f>
        <v>11340</v>
      </c>
      <c r="G526" s="73"/>
      <c r="H526" s="73"/>
    </row>
    <row r="527" spans="1:16" x14ac:dyDescent="0.25">
      <c r="A527" s="242">
        <v>3121</v>
      </c>
      <c r="B527" s="65" t="s">
        <v>251</v>
      </c>
      <c r="C527" s="242"/>
      <c r="D527" s="242"/>
      <c r="E527" s="242"/>
      <c r="F527" s="66">
        <v>11340</v>
      </c>
      <c r="G527" s="66">
        <v>10660</v>
      </c>
      <c r="H527" s="66"/>
    </row>
    <row r="528" spans="1:16" x14ac:dyDescent="0.25">
      <c r="A528" s="153">
        <v>313</v>
      </c>
      <c r="B528" s="153" t="s">
        <v>131</v>
      </c>
      <c r="C528" s="153"/>
      <c r="D528" s="153"/>
      <c r="E528" s="153"/>
      <c r="F528" s="73">
        <f>F529</f>
        <v>37200</v>
      </c>
      <c r="G528" s="73"/>
      <c r="H528" s="73"/>
    </row>
    <row r="529" spans="1:8" x14ac:dyDescent="0.25">
      <c r="A529" s="242">
        <v>3132</v>
      </c>
      <c r="B529" s="242" t="s">
        <v>150</v>
      </c>
      <c r="C529" s="242"/>
      <c r="D529" s="242"/>
      <c r="E529" s="242"/>
      <c r="F529" s="66">
        <v>37200</v>
      </c>
      <c r="G529" s="66">
        <v>43550</v>
      </c>
      <c r="H529" s="66"/>
    </row>
    <row r="530" spans="1:8" x14ac:dyDescent="0.25">
      <c r="A530" s="153">
        <v>32</v>
      </c>
      <c r="B530" s="153" t="s">
        <v>132</v>
      </c>
      <c r="C530" s="153"/>
      <c r="D530" s="153"/>
      <c r="E530" s="153"/>
      <c r="F530" s="73">
        <f>F531+F536+F543+F552</f>
        <v>66566</v>
      </c>
      <c r="G530" s="73"/>
      <c r="H530" s="73"/>
    </row>
    <row r="531" spans="1:8" x14ac:dyDescent="0.25">
      <c r="A531" s="153">
        <v>321</v>
      </c>
      <c r="B531" s="153" t="s">
        <v>133</v>
      </c>
      <c r="C531" s="153"/>
      <c r="D531" s="153"/>
      <c r="E531" s="153"/>
      <c r="F531" s="73">
        <f>F532+F533+F534+F535</f>
        <v>14375</v>
      </c>
      <c r="G531" s="73"/>
      <c r="H531" s="73"/>
    </row>
    <row r="532" spans="1:8" x14ac:dyDescent="0.25">
      <c r="A532" s="65">
        <v>3211</v>
      </c>
      <c r="B532" s="65" t="s">
        <v>151</v>
      </c>
      <c r="C532" s="65"/>
      <c r="D532" s="65"/>
      <c r="E532" s="65"/>
      <c r="F532" s="226">
        <v>400</v>
      </c>
      <c r="G532" s="226">
        <v>600</v>
      </c>
      <c r="H532" s="226"/>
    </row>
    <row r="533" spans="1:8" x14ac:dyDescent="0.25">
      <c r="A533" s="65">
        <v>3212</v>
      </c>
      <c r="B533" s="65" t="s">
        <v>252</v>
      </c>
      <c r="C533" s="65"/>
      <c r="D533" s="65"/>
      <c r="E533" s="65"/>
      <c r="F533" s="226">
        <v>12525</v>
      </c>
      <c r="G533" s="226">
        <v>10331.200000000001</v>
      </c>
      <c r="H533" s="226"/>
    </row>
    <row r="534" spans="1:8" x14ac:dyDescent="0.25">
      <c r="A534" s="242">
        <v>3213</v>
      </c>
      <c r="B534" s="242" t="s">
        <v>170</v>
      </c>
      <c r="C534" s="242"/>
      <c r="D534" s="242"/>
      <c r="E534" s="242"/>
      <c r="F534" s="226">
        <v>750</v>
      </c>
      <c r="G534" s="226">
        <v>800</v>
      </c>
      <c r="H534" s="226"/>
    </row>
    <row r="535" spans="1:8" x14ac:dyDescent="0.25">
      <c r="A535" s="242">
        <v>3214</v>
      </c>
      <c r="B535" s="623" t="s">
        <v>253</v>
      </c>
      <c r="C535" s="623"/>
      <c r="D535" s="623"/>
      <c r="E535" s="623"/>
      <c r="F535" s="226">
        <v>700</v>
      </c>
      <c r="G535" s="226">
        <v>500</v>
      </c>
      <c r="H535" s="226"/>
    </row>
    <row r="536" spans="1:8" x14ac:dyDescent="0.25">
      <c r="A536" s="153">
        <v>322</v>
      </c>
      <c r="B536" s="153" t="s">
        <v>134</v>
      </c>
      <c r="C536" s="153"/>
      <c r="D536" s="153"/>
      <c r="E536" s="153"/>
      <c r="F536" s="73">
        <f>F537+F538+F539+F540+F541+F542</f>
        <v>40650</v>
      </c>
      <c r="G536" s="73"/>
      <c r="H536" s="73"/>
    </row>
    <row r="537" spans="1:8" x14ac:dyDescent="0.25">
      <c r="A537" s="65">
        <v>3221</v>
      </c>
      <c r="B537" s="65" t="s">
        <v>254</v>
      </c>
      <c r="C537" s="65"/>
      <c r="D537" s="65"/>
      <c r="E537" s="65"/>
      <c r="F537" s="226">
        <f>650+1200+600+500</f>
        <v>2950</v>
      </c>
      <c r="G537" s="226">
        <v>3700</v>
      </c>
      <c r="H537" s="226"/>
    </row>
    <row r="538" spans="1:8" x14ac:dyDescent="0.25">
      <c r="A538" s="65">
        <v>3222</v>
      </c>
      <c r="B538" s="65" t="s">
        <v>255</v>
      </c>
      <c r="C538" s="65"/>
      <c r="D538" s="65"/>
      <c r="E538" s="65"/>
      <c r="F538" s="226">
        <v>22000</v>
      </c>
      <c r="G538" s="226">
        <v>22000</v>
      </c>
      <c r="H538" s="226"/>
    </row>
    <row r="539" spans="1:8" x14ac:dyDescent="0.25">
      <c r="A539" s="65">
        <v>3223</v>
      </c>
      <c r="B539" s="65" t="s">
        <v>296</v>
      </c>
      <c r="C539" s="65"/>
      <c r="D539" s="65"/>
      <c r="E539" s="65"/>
      <c r="F539" s="226">
        <v>9000</v>
      </c>
      <c r="G539" s="226">
        <v>9000</v>
      </c>
      <c r="H539" s="226"/>
    </row>
    <row r="540" spans="1:8" x14ac:dyDescent="0.25">
      <c r="A540" s="65">
        <v>3224</v>
      </c>
      <c r="B540" s="588" t="s">
        <v>297</v>
      </c>
      <c r="C540" s="588"/>
      <c r="D540" s="588"/>
      <c r="E540" s="588"/>
      <c r="F540" s="226">
        <v>1500</v>
      </c>
      <c r="G540" s="226">
        <v>2500</v>
      </c>
      <c r="H540" s="226"/>
    </row>
    <row r="541" spans="1:8" x14ac:dyDescent="0.25">
      <c r="A541" s="242">
        <v>3225</v>
      </c>
      <c r="B541" s="588" t="s">
        <v>256</v>
      </c>
      <c r="C541" s="588"/>
      <c r="D541" s="588"/>
      <c r="E541" s="242"/>
      <c r="F541" s="226">
        <v>4000</v>
      </c>
      <c r="G541" s="226">
        <v>2900</v>
      </c>
      <c r="H541" s="226"/>
    </row>
    <row r="542" spans="1:8" x14ac:dyDescent="0.25">
      <c r="A542" s="242">
        <v>3227</v>
      </c>
      <c r="B542" s="588" t="s">
        <v>257</v>
      </c>
      <c r="C542" s="588"/>
      <c r="D542" s="588"/>
      <c r="E542" s="588"/>
      <c r="F542" s="226">
        <v>1200</v>
      </c>
      <c r="G542" s="226">
        <v>1300</v>
      </c>
      <c r="H542" s="226"/>
    </row>
    <row r="543" spans="1:8" x14ac:dyDescent="0.25">
      <c r="A543" s="153">
        <v>323</v>
      </c>
      <c r="B543" s="153" t="s">
        <v>135</v>
      </c>
      <c r="C543" s="153"/>
      <c r="D543" s="153"/>
      <c r="E543" s="153"/>
      <c r="F543" s="73">
        <f>F544+F547+F545+F548+F549+F550+F551</f>
        <v>8641</v>
      </c>
      <c r="G543" s="73"/>
      <c r="H543" s="73"/>
    </row>
    <row r="544" spans="1:8" x14ac:dyDescent="0.25">
      <c r="A544" s="242">
        <v>3231</v>
      </c>
      <c r="B544" s="65" t="s">
        <v>421</v>
      </c>
      <c r="C544" s="242"/>
      <c r="D544" s="242"/>
      <c r="E544" s="242"/>
      <c r="F544" s="226">
        <v>730</v>
      </c>
      <c r="G544" s="226">
        <v>1140</v>
      </c>
      <c r="H544" s="226"/>
    </row>
    <row r="545" spans="1:9" x14ac:dyDescent="0.25">
      <c r="A545" s="242">
        <v>3232</v>
      </c>
      <c r="B545" s="242" t="s">
        <v>258</v>
      </c>
      <c r="C545" s="242"/>
      <c r="D545" s="242"/>
      <c r="E545" s="242"/>
      <c r="F545" s="226">
        <v>1000</v>
      </c>
      <c r="G545" s="226">
        <v>5000</v>
      </c>
      <c r="H545" s="226"/>
    </row>
    <row r="546" spans="1:9" x14ac:dyDescent="0.25">
      <c r="A546" s="242"/>
      <c r="B546" s="242" t="s">
        <v>802</v>
      </c>
      <c r="C546" s="242"/>
      <c r="D546" s="242"/>
      <c r="E546" s="242"/>
      <c r="F546" s="226"/>
      <c r="G546" s="226">
        <v>100</v>
      </c>
      <c r="H546" s="226"/>
    </row>
    <row r="547" spans="1:9" x14ac:dyDescent="0.25">
      <c r="A547" s="242">
        <v>3234</v>
      </c>
      <c r="B547" s="65" t="s">
        <v>422</v>
      </c>
      <c r="C547" s="242"/>
      <c r="D547" s="242"/>
      <c r="E547" s="242"/>
      <c r="F547" s="226">
        <v>3520</v>
      </c>
      <c r="G547" s="226">
        <v>4730</v>
      </c>
      <c r="H547" s="226"/>
    </row>
    <row r="548" spans="1:9" x14ac:dyDescent="0.25">
      <c r="A548" s="242">
        <v>3236</v>
      </c>
      <c r="B548" s="65" t="s">
        <v>423</v>
      </c>
      <c r="C548" s="242"/>
      <c r="D548" s="242"/>
      <c r="E548" s="242"/>
      <c r="F548" s="226">
        <v>1341</v>
      </c>
      <c r="G548" s="226">
        <v>2180</v>
      </c>
      <c r="H548" s="226"/>
    </row>
    <row r="549" spans="1:9" x14ac:dyDescent="0.25">
      <c r="A549" s="242"/>
      <c r="B549" s="588" t="s">
        <v>298</v>
      </c>
      <c r="C549" s="588"/>
      <c r="D549" s="588"/>
      <c r="E549" s="588"/>
      <c r="F549" s="226">
        <v>1300</v>
      </c>
      <c r="G549" s="226">
        <v>1300</v>
      </c>
      <c r="H549" s="226"/>
    </row>
    <row r="550" spans="1:9" x14ac:dyDescent="0.25">
      <c r="A550" s="242"/>
      <c r="B550" s="588" t="s">
        <v>259</v>
      </c>
      <c r="C550" s="588"/>
      <c r="D550" s="588"/>
      <c r="E550" s="588"/>
      <c r="F550" s="226">
        <v>650</v>
      </c>
      <c r="G550" s="226">
        <v>770</v>
      </c>
      <c r="H550" s="226"/>
    </row>
    <row r="551" spans="1:9" x14ac:dyDescent="0.25">
      <c r="A551" s="242">
        <v>3237</v>
      </c>
      <c r="B551" s="65" t="s">
        <v>299</v>
      </c>
      <c r="C551" s="242"/>
      <c r="D551" s="242"/>
      <c r="E551" s="242"/>
      <c r="F551" s="226">
        <v>100</v>
      </c>
      <c r="G551" s="226">
        <v>100</v>
      </c>
      <c r="H551" s="226"/>
    </row>
    <row r="552" spans="1:9" x14ac:dyDescent="0.25">
      <c r="A552" s="153">
        <v>329</v>
      </c>
      <c r="B552" s="153" t="s">
        <v>260</v>
      </c>
      <c r="C552" s="153"/>
      <c r="D552" s="153"/>
      <c r="E552" s="153"/>
      <c r="F552" s="73">
        <f>F553+F554+F555+F556+F557</f>
        <v>2900</v>
      </c>
      <c r="G552" s="73"/>
      <c r="H552" s="73"/>
    </row>
    <row r="553" spans="1:9" x14ac:dyDescent="0.25">
      <c r="A553" s="242">
        <v>3291</v>
      </c>
      <c r="B553" s="65" t="s">
        <v>261</v>
      </c>
      <c r="C553" s="242"/>
      <c r="D553" s="242"/>
      <c r="E553" s="242"/>
      <c r="F553" s="226">
        <v>2300</v>
      </c>
      <c r="G553" s="226">
        <v>2760</v>
      </c>
      <c r="H553" s="226"/>
    </row>
    <row r="554" spans="1:9" x14ac:dyDescent="0.25">
      <c r="A554" s="242"/>
      <c r="B554" s="588" t="s">
        <v>262</v>
      </c>
      <c r="C554" s="588"/>
      <c r="D554" s="588"/>
      <c r="E554" s="588"/>
      <c r="F554" s="226">
        <v>135</v>
      </c>
      <c r="G554" s="226">
        <v>132</v>
      </c>
      <c r="H554" s="226"/>
      <c r="I554" s="32" t="s">
        <v>803</v>
      </c>
    </row>
    <row r="555" spans="1:9" x14ac:dyDescent="0.25">
      <c r="A555" s="242">
        <v>3294</v>
      </c>
      <c r="B555" s="238" t="s">
        <v>263</v>
      </c>
      <c r="C555" s="238"/>
      <c r="D555" s="238"/>
      <c r="E555" s="238"/>
      <c r="F555" s="226">
        <v>15</v>
      </c>
      <c r="G555" s="226">
        <v>14</v>
      </c>
      <c r="H555" s="226"/>
      <c r="I555" s="32">
        <f>397967.2</f>
        <v>397967.2</v>
      </c>
    </row>
    <row r="556" spans="1:9" x14ac:dyDescent="0.25">
      <c r="A556" s="242"/>
      <c r="B556" s="588" t="s">
        <v>264</v>
      </c>
      <c r="C556" s="588"/>
      <c r="D556" s="588"/>
      <c r="E556" s="588"/>
      <c r="F556" s="226">
        <v>150</v>
      </c>
      <c r="G556" s="226">
        <v>150</v>
      </c>
      <c r="H556" s="226"/>
    </row>
    <row r="557" spans="1:9" x14ac:dyDescent="0.25">
      <c r="A557" s="242">
        <v>3293</v>
      </c>
      <c r="B557" s="65" t="s">
        <v>153</v>
      </c>
      <c r="C557" s="242"/>
      <c r="D557" s="242"/>
      <c r="E557" s="242"/>
      <c r="F557" s="226">
        <v>300</v>
      </c>
      <c r="G557" s="226">
        <v>300</v>
      </c>
      <c r="H557" s="226"/>
    </row>
    <row r="558" spans="1:9" x14ac:dyDescent="0.25">
      <c r="A558" s="153">
        <v>34</v>
      </c>
      <c r="B558" s="153" t="s">
        <v>136</v>
      </c>
      <c r="C558" s="153"/>
      <c r="D558" s="153"/>
      <c r="E558" s="153"/>
      <c r="F558" s="73">
        <f>F559</f>
        <v>960</v>
      </c>
      <c r="G558" s="73"/>
      <c r="H558" s="73"/>
    </row>
    <row r="559" spans="1:9" x14ac:dyDescent="0.25">
      <c r="A559" s="153">
        <v>343</v>
      </c>
      <c r="B559" s="153" t="s">
        <v>137</v>
      </c>
      <c r="C559" s="153"/>
      <c r="D559" s="153"/>
      <c r="E559" s="153"/>
      <c r="F559" s="73">
        <f>F560+F561</f>
        <v>960</v>
      </c>
      <c r="G559" s="73"/>
      <c r="H559" s="73"/>
    </row>
    <row r="560" spans="1:9" x14ac:dyDescent="0.25">
      <c r="A560" s="242">
        <v>3431</v>
      </c>
      <c r="B560" s="65" t="s">
        <v>201</v>
      </c>
      <c r="C560" s="242"/>
      <c r="D560" s="242"/>
      <c r="E560" s="242"/>
      <c r="F560" s="66">
        <v>950</v>
      </c>
      <c r="G560" s="66">
        <f>900+120</f>
        <v>1020</v>
      </c>
      <c r="H560" s="66"/>
    </row>
    <row r="561" spans="1:9" x14ac:dyDescent="0.25">
      <c r="A561" s="242">
        <v>3433</v>
      </c>
      <c r="B561" s="65" t="s">
        <v>300</v>
      </c>
      <c r="C561" s="242"/>
      <c r="D561" s="242"/>
      <c r="E561" s="242"/>
      <c r="F561" s="66">
        <v>10</v>
      </c>
      <c r="G561" s="66">
        <v>10</v>
      </c>
      <c r="H561" s="66"/>
    </row>
    <row r="562" spans="1:9" x14ac:dyDescent="0.25">
      <c r="A562" s="242">
        <v>3434</v>
      </c>
      <c r="B562" s="65" t="s">
        <v>265</v>
      </c>
      <c r="C562" s="242"/>
      <c r="D562" s="242"/>
      <c r="E562" s="242"/>
      <c r="F562" s="66"/>
      <c r="G562" s="66"/>
      <c r="H562" s="66"/>
    </row>
    <row r="563" spans="1:9" x14ac:dyDescent="0.25">
      <c r="A563" s="153">
        <v>4</v>
      </c>
      <c r="B563" s="153" t="s">
        <v>266</v>
      </c>
      <c r="C563" s="153"/>
      <c r="D563" s="153"/>
      <c r="E563" s="153"/>
      <c r="F563" s="73">
        <f>F564</f>
        <v>4500</v>
      </c>
      <c r="G563" s="73"/>
      <c r="H563" s="73"/>
    </row>
    <row r="564" spans="1:9" x14ac:dyDescent="0.25">
      <c r="A564" s="153">
        <v>42</v>
      </c>
      <c r="B564" s="153" t="s">
        <v>238</v>
      </c>
      <c r="C564" s="153"/>
      <c r="D564" s="153"/>
      <c r="E564" s="153"/>
      <c r="F564" s="73">
        <f>F565</f>
        <v>4500</v>
      </c>
      <c r="G564" s="73"/>
      <c r="H564" s="73"/>
    </row>
    <row r="565" spans="1:9" x14ac:dyDescent="0.25">
      <c r="A565" s="153">
        <v>422</v>
      </c>
      <c r="B565" s="153" t="s">
        <v>145</v>
      </c>
      <c r="C565" s="153"/>
      <c r="D565" s="153"/>
      <c r="E565" s="153"/>
      <c r="F565" s="73">
        <f>F566+F567</f>
        <v>4500</v>
      </c>
      <c r="G565" s="73"/>
      <c r="H565" s="73"/>
    </row>
    <row r="566" spans="1:9" x14ac:dyDescent="0.25">
      <c r="A566" s="242">
        <v>4221</v>
      </c>
      <c r="B566" s="65" t="s">
        <v>424</v>
      </c>
      <c r="C566" s="242"/>
      <c r="D566" s="242"/>
      <c r="E566" s="242"/>
      <c r="F566" s="227">
        <v>3500</v>
      </c>
      <c r="G566" s="227">
        <v>4500</v>
      </c>
      <c r="H566" s="66"/>
    </row>
    <row r="567" spans="1:9" x14ac:dyDescent="0.25">
      <c r="A567" s="242">
        <v>4227</v>
      </c>
      <c r="B567" s="588" t="s">
        <v>425</v>
      </c>
      <c r="C567" s="588"/>
      <c r="D567" s="588"/>
      <c r="E567" s="588"/>
      <c r="F567" s="66">
        <v>1000</v>
      </c>
      <c r="G567" s="66">
        <v>2000</v>
      </c>
      <c r="H567" s="66"/>
    </row>
    <row r="568" spans="1:9" x14ac:dyDescent="0.25">
      <c r="A568" s="289" t="s">
        <v>374</v>
      </c>
      <c r="B568" s="289"/>
      <c r="C568" s="289"/>
      <c r="D568" s="289"/>
      <c r="E568" s="75"/>
      <c r="F568" s="76">
        <f>F570+F587+F595</f>
        <v>14800</v>
      </c>
      <c r="G568" s="76"/>
      <c r="H568" s="76">
        <f>H570+H587</f>
        <v>9210.16</v>
      </c>
    </row>
    <row r="569" spans="1:9" x14ac:dyDescent="0.25">
      <c r="A569" s="246" t="s">
        <v>398</v>
      </c>
      <c r="B569" s="246"/>
      <c r="C569" s="246"/>
      <c r="D569" s="246"/>
      <c r="E569" s="234"/>
      <c r="F569" s="234"/>
      <c r="G569" s="234"/>
      <c r="H569" s="258"/>
      <c r="I569" s="224"/>
    </row>
    <row r="570" spans="1:9" x14ac:dyDescent="0.25">
      <c r="A570" s="612" t="s">
        <v>267</v>
      </c>
      <c r="B570" s="612"/>
      <c r="C570" s="612"/>
      <c r="D570" s="612"/>
      <c r="E570" s="612"/>
      <c r="F570" s="87">
        <f>F572</f>
        <v>7800</v>
      </c>
      <c r="G570" s="87"/>
      <c r="H570" s="88">
        <f>H573+H579+H576</f>
        <v>5210.16</v>
      </c>
    </row>
    <row r="571" spans="1:9" x14ac:dyDescent="0.25">
      <c r="A571" s="248"/>
      <c r="B571" s="248"/>
      <c r="C571" s="248"/>
      <c r="D571" s="248"/>
      <c r="E571" s="248"/>
      <c r="F571" s="37"/>
      <c r="G571" s="37"/>
      <c r="H571" s="37"/>
    </row>
    <row r="572" spans="1:9" x14ac:dyDescent="0.25">
      <c r="A572" s="153">
        <v>3</v>
      </c>
      <c r="B572" s="153" t="s">
        <v>18</v>
      </c>
      <c r="C572" s="153"/>
      <c r="D572" s="153"/>
      <c r="E572" s="153"/>
      <c r="F572" s="73">
        <f>F573+F577</f>
        <v>7800</v>
      </c>
      <c r="G572" s="73"/>
      <c r="H572" s="73"/>
    </row>
    <row r="573" spans="1:9" x14ac:dyDescent="0.25">
      <c r="A573" s="153">
        <v>32</v>
      </c>
      <c r="B573" s="153" t="s">
        <v>132</v>
      </c>
      <c r="C573" s="153"/>
      <c r="D573" s="153"/>
      <c r="E573" s="153"/>
      <c r="F573" s="73">
        <f>F576</f>
        <v>1800</v>
      </c>
      <c r="G573" s="73"/>
      <c r="H573" s="73"/>
    </row>
    <row r="574" spans="1:9" x14ac:dyDescent="0.25">
      <c r="A574" s="65">
        <v>322</v>
      </c>
      <c r="B574" s="65" t="s">
        <v>760</v>
      </c>
      <c r="C574" s="65"/>
      <c r="D574" s="65"/>
      <c r="E574" s="153"/>
      <c r="F574" s="73"/>
      <c r="G574" s="66">
        <f>7050-1990</f>
        <v>5060</v>
      </c>
      <c r="H574" s="73"/>
      <c r="I574" s="32" t="s">
        <v>800</v>
      </c>
    </row>
    <row r="575" spans="1:9" x14ac:dyDescent="0.25">
      <c r="A575" s="65">
        <v>323</v>
      </c>
      <c r="B575" s="65" t="s">
        <v>761</v>
      </c>
      <c r="C575" s="65"/>
      <c r="D575" s="65"/>
      <c r="E575" s="153"/>
      <c r="F575" s="73"/>
      <c r="G575" s="66">
        <v>635</v>
      </c>
      <c r="H575" s="73"/>
    </row>
    <row r="576" spans="1:9" x14ac:dyDescent="0.25">
      <c r="A576" s="65">
        <v>323</v>
      </c>
      <c r="B576" s="65" t="s">
        <v>759</v>
      </c>
      <c r="C576" s="65"/>
      <c r="D576" s="65"/>
      <c r="E576" s="65"/>
      <c r="F576" s="66">
        <v>1800</v>
      </c>
      <c r="G576" s="66">
        <v>17600</v>
      </c>
      <c r="H576" s="66">
        <v>1642.33</v>
      </c>
    </row>
    <row r="577" spans="1:9" x14ac:dyDescent="0.25">
      <c r="A577" s="153">
        <v>36</v>
      </c>
      <c r="B577" s="153" t="s">
        <v>213</v>
      </c>
      <c r="C577" s="153"/>
      <c r="D577" s="153"/>
      <c r="E577" s="153"/>
      <c r="F577" s="73">
        <f>F578</f>
        <v>6000</v>
      </c>
      <c r="G577" s="73"/>
      <c r="H577" s="73"/>
    </row>
    <row r="578" spans="1:9" x14ac:dyDescent="0.25">
      <c r="A578" s="153">
        <v>363</v>
      </c>
      <c r="B578" s="153" t="s">
        <v>213</v>
      </c>
      <c r="C578" s="153"/>
      <c r="D578" s="153"/>
      <c r="E578" s="153"/>
      <c r="F578" s="73">
        <f>F579</f>
        <v>6000</v>
      </c>
      <c r="G578" s="73"/>
      <c r="H578" s="73"/>
    </row>
    <row r="579" spans="1:9" x14ac:dyDescent="0.25">
      <c r="A579" s="242">
        <v>3631</v>
      </c>
      <c r="B579" s="65" t="s">
        <v>458</v>
      </c>
      <c r="C579" s="242"/>
      <c r="D579" s="242"/>
      <c r="E579" s="242"/>
      <c r="F579" s="37">
        <v>6000</v>
      </c>
      <c r="G579" s="37">
        <v>6000</v>
      </c>
      <c r="H579" s="37">
        <v>3567.83</v>
      </c>
    </row>
    <row r="580" spans="1:9" x14ac:dyDescent="0.25">
      <c r="A580" s="65"/>
      <c r="B580" s="65" t="s">
        <v>776</v>
      </c>
      <c r="C580" s="65"/>
      <c r="D580" s="65"/>
      <c r="E580" s="242"/>
      <c r="F580" s="37"/>
      <c r="G580" s="37"/>
      <c r="H580" s="37"/>
    </row>
    <row r="581" spans="1:9" x14ac:dyDescent="0.25">
      <c r="A581" s="153">
        <v>4</v>
      </c>
      <c r="B581" s="153" t="s">
        <v>266</v>
      </c>
      <c r="C581" s="153"/>
      <c r="D581" s="153"/>
      <c r="E581" s="153"/>
      <c r="F581" s="37"/>
      <c r="G581" s="37"/>
      <c r="H581" s="37"/>
    </row>
    <row r="582" spans="1:9" x14ac:dyDescent="0.25">
      <c r="A582" s="153">
        <v>42</v>
      </c>
      <c r="B582" s="153" t="s">
        <v>238</v>
      </c>
      <c r="C582" s="153"/>
      <c r="D582" s="153"/>
      <c r="E582" s="153"/>
      <c r="F582" s="37"/>
      <c r="G582" s="37"/>
      <c r="H582" s="37"/>
    </row>
    <row r="583" spans="1:9" x14ac:dyDescent="0.25">
      <c r="A583" s="65">
        <v>4227</v>
      </c>
      <c r="B583" s="65" t="s">
        <v>760</v>
      </c>
      <c r="C583" s="65"/>
      <c r="D583" s="65"/>
      <c r="E583" s="242"/>
      <c r="F583" s="37"/>
      <c r="G583" s="37">
        <f>1990</f>
        <v>1990</v>
      </c>
      <c r="H583" s="37"/>
      <c r="I583" s="32" t="s">
        <v>800</v>
      </c>
    </row>
    <row r="584" spans="1:9" x14ac:dyDescent="0.25">
      <c r="A584" s="65"/>
      <c r="B584" s="65"/>
      <c r="C584" s="65"/>
      <c r="D584" s="65"/>
      <c r="E584" s="242"/>
      <c r="F584" s="37"/>
      <c r="G584" s="37"/>
      <c r="H584" s="37"/>
    </row>
    <row r="585" spans="1:9" x14ac:dyDescent="0.25">
      <c r="A585" s="65"/>
      <c r="B585" s="65"/>
      <c r="C585" s="65"/>
      <c r="D585" s="65"/>
      <c r="E585" s="242"/>
      <c r="F585" s="37"/>
      <c r="G585" s="37"/>
      <c r="H585" s="37"/>
    </row>
    <row r="586" spans="1:9" x14ac:dyDescent="0.25">
      <c r="A586" s="246" t="s">
        <v>398</v>
      </c>
      <c r="B586" s="246"/>
      <c r="C586" s="246"/>
      <c r="D586" s="246"/>
      <c r="E586" s="234"/>
      <c r="F586" s="234"/>
      <c r="G586" s="234"/>
      <c r="H586" s="258"/>
      <c r="I586" s="224"/>
    </row>
    <row r="587" spans="1:9" x14ac:dyDescent="0.25">
      <c r="A587" s="263" t="s">
        <v>346</v>
      </c>
      <c r="B587" s="263"/>
      <c r="C587" s="263"/>
      <c r="D587" s="263"/>
      <c r="E587" s="264"/>
      <c r="F587" s="236">
        <f>F589</f>
        <v>4000</v>
      </c>
      <c r="G587" s="236"/>
      <c r="H587" s="236">
        <f>H592</f>
        <v>4000</v>
      </c>
    </row>
    <row r="588" spans="1:9" x14ac:dyDescent="0.25">
      <c r="A588" s="65"/>
      <c r="B588" s="65"/>
      <c r="C588" s="65"/>
      <c r="D588" s="65"/>
      <c r="E588" s="65"/>
      <c r="F588" s="37"/>
      <c r="G588" s="37"/>
      <c r="H588" s="37"/>
    </row>
    <row r="589" spans="1:9" x14ac:dyDescent="0.25">
      <c r="A589" s="153">
        <v>3</v>
      </c>
      <c r="B589" s="153" t="s">
        <v>18</v>
      </c>
      <c r="C589" s="65"/>
      <c r="D589" s="65"/>
      <c r="E589" s="65"/>
      <c r="F589" s="213">
        <f t="shared" ref="F589:F591" si="27">F590</f>
        <v>4000</v>
      </c>
      <c r="G589" s="213"/>
      <c r="H589" s="213"/>
    </row>
    <row r="590" spans="1:9" x14ac:dyDescent="0.25">
      <c r="A590" s="153">
        <v>37</v>
      </c>
      <c r="B590" s="153" t="s">
        <v>140</v>
      </c>
      <c r="C590" s="65"/>
      <c r="D590" s="65"/>
      <c r="E590" s="65"/>
      <c r="F590" s="213">
        <f t="shared" si="27"/>
        <v>4000</v>
      </c>
      <c r="G590" s="213"/>
      <c r="H590" s="213"/>
    </row>
    <row r="591" spans="1:9" x14ac:dyDescent="0.25">
      <c r="A591" s="153">
        <v>372</v>
      </c>
      <c r="B591" s="153" t="s">
        <v>140</v>
      </c>
      <c r="C591" s="65"/>
      <c r="D591" s="65"/>
      <c r="E591" s="65"/>
      <c r="F591" s="213">
        <f t="shared" si="27"/>
        <v>4000</v>
      </c>
      <c r="G591" s="213"/>
      <c r="H591" s="213"/>
    </row>
    <row r="592" spans="1:9" x14ac:dyDescent="0.25">
      <c r="A592" s="65">
        <v>3721</v>
      </c>
      <c r="B592" s="65" t="s">
        <v>284</v>
      </c>
      <c r="C592" s="65"/>
      <c r="D592" s="65"/>
      <c r="E592" s="65"/>
      <c r="F592" s="37">
        <v>4000</v>
      </c>
      <c r="G592" s="37">
        <v>4000</v>
      </c>
      <c r="H592" s="37">
        <v>4000</v>
      </c>
      <c r="I592" s="32" t="s">
        <v>780</v>
      </c>
    </row>
    <row r="593" spans="1:9" x14ac:dyDescent="0.25">
      <c r="A593" s="549" t="s">
        <v>375</v>
      </c>
      <c r="B593" s="550"/>
      <c r="C593" s="550"/>
      <c r="D593" s="550"/>
      <c r="E593" s="555"/>
      <c r="F593" s="361"/>
      <c r="G593" s="361"/>
      <c r="H593" s="361">
        <f>H595</f>
        <v>1470</v>
      </c>
    </row>
    <row r="594" spans="1:9" x14ac:dyDescent="0.25">
      <c r="A594" s="246" t="s">
        <v>399</v>
      </c>
      <c r="B594" s="246"/>
      <c r="C594" s="246"/>
      <c r="D594" s="246"/>
      <c r="E594" s="234"/>
      <c r="F594" s="234"/>
      <c r="G594" s="234"/>
      <c r="H594" s="258"/>
      <c r="I594" s="224"/>
    </row>
    <row r="595" spans="1:9" x14ac:dyDescent="0.25">
      <c r="A595" s="617" t="s">
        <v>268</v>
      </c>
      <c r="B595" s="617"/>
      <c r="C595" s="617"/>
      <c r="D595" s="617"/>
      <c r="E595" s="617"/>
      <c r="F595" s="88">
        <f>F597</f>
        <v>3000</v>
      </c>
      <c r="G595" s="88"/>
      <c r="H595" s="88">
        <f>H600</f>
        <v>1470</v>
      </c>
    </row>
    <row r="596" spans="1:9" x14ac:dyDescent="0.25">
      <c r="A596" s="248"/>
      <c r="B596" s="248"/>
      <c r="C596" s="248"/>
      <c r="D596" s="248"/>
      <c r="E596" s="248"/>
      <c r="F596" s="37"/>
      <c r="G596" s="37"/>
      <c r="H596" s="37"/>
    </row>
    <row r="597" spans="1:9" x14ac:dyDescent="0.25">
      <c r="A597" s="153">
        <v>3</v>
      </c>
      <c r="B597" s="153" t="s">
        <v>18</v>
      </c>
      <c r="C597" s="153"/>
      <c r="D597" s="153"/>
      <c r="E597" s="153"/>
      <c r="F597" s="73">
        <f>F598</f>
        <v>3000</v>
      </c>
      <c r="G597" s="73"/>
      <c r="H597" s="73"/>
    </row>
    <row r="598" spans="1:9" x14ac:dyDescent="0.25">
      <c r="A598" s="153">
        <v>37</v>
      </c>
      <c r="B598" s="153" t="s">
        <v>140</v>
      </c>
      <c r="C598" s="153"/>
      <c r="D598" s="153"/>
      <c r="E598" s="153"/>
      <c r="F598" s="73">
        <f>F599</f>
        <v>3000</v>
      </c>
      <c r="G598" s="73"/>
      <c r="H598" s="73"/>
    </row>
    <row r="599" spans="1:9" x14ac:dyDescent="0.25">
      <c r="A599" s="153">
        <v>372</v>
      </c>
      <c r="B599" s="153" t="s">
        <v>140</v>
      </c>
      <c r="C599" s="153"/>
      <c r="D599" s="153"/>
      <c r="E599" s="153"/>
      <c r="F599" s="73">
        <f>F600</f>
        <v>3000</v>
      </c>
      <c r="G599" s="73"/>
      <c r="H599" s="73"/>
    </row>
    <row r="600" spans="1:9" x14ac:dyDescent="0.25">
      <c r="A600" s="65">
        <v>3721</v>
      </c>
      <c r="B600" s="65" t="s">
        <v>269</v>
      </c>
      <c r="C600" s="65"/>
      <c r="D600" s="65"/>
      <c r="E600" s="65"/>
      <c r="F600" s="37">
        <v>3000</v>
      </c>
      <c r="G600" s="37">
        <v>3000</v>
      </c>
      <c r="H600" s="37">
        <v>1470</v>
      </c>
      <c r="I600" s="32" t="s">
        <v>420</v>
      </c>
    </row>
    <row r="601" spans="1:9" x14ac:dyDescent="0.25">
      <c r="A601" s="242"/>
      <c r="B601" s="242"/>
      <c r="C601" s="242"/>
      <c r="D601" s="242"/>
      <c r="E601" s="242"/>
      <c r="F601" s="37"/>
      <c r="G601" s="37"/>
      <c r="H601" s="37"/>
    </row>
    <row r="602" spans="1:9" x14ac:dyDescent="0.25">
      <c r="A602" s="289" t="s">
        <v>376</v>
      </c>
      <c r="B602" s="289"/>
      <c r="C602" s="289"/>
      <c r="D602" s="289"/>
      <c r="E602" s="145"/>
      <c r="F602" s="76">
        <f>F604</f>
        <v>10000</v>
      </c>
      <c r="G602" s="76"/>
      <c r="H602" s="76">
        <f t="shared" ref="H602" si="28">H604</f>
        <v>4900</v>
      </c>
    </row>
    <row r="603" spans="1:9" x14ac:dyDescent="0.25">
      <c r="A603" s="246" t="s">
        <v>400</v>
      </c>
      <c r="B603" s="246"/>
      <c r="C603" s="246"/>
      <c r="D603" s="246"/>
      <c r="E603" s="234"/>
      <c r="F603" s="234"/>
      <c r="G603" s="234"/>
      <c r="H603" s="258"/>
      <c r="I603" s="224"/>
    </row>
    <row r="604" spans="1:9" x14ac:dyDescent="0.25">
      <c r="A604" s="90" t="s">
        <v>81</v>
      </c>
      <c r="B604" s="93"/>
      <c r="C604" s="93"/>
      <c r="D604" s="93"/>
      <c r="E604" s="93"/>
      <c r="F604" s="87">
        <f>F606</f>
        <v>10000</v>
      </c>
      <c r="G604" s="87"/>
      <c r="H604" s="88">
        <f>H609</f>
        <v>4900</v>
      </c>
    </row>
    <row r="605" spans="1:9" x14ac:dyDescent="0.25">
      <c r="A605" s="248"/>
      <c r="B605" s="248"/>
      <c r="C605" s="248"/>
      <c r="D605" s="248"/>
      <c r="E605" s="248"/>
      <c r="F605" s="37"/>
      <c r="G605" s="37"/>
      <c r="H605" s="37"/>
    </row>
    <row r="606" spans="1:9" x14ac:dyDescent="0.25">
      <c r="A606" s="153">
        <v>3</v>
      </c>
      <c r="B606" s="153" t="s">
        <v>18</v>
      </c>
      <c r="C606" s="153"/>
      <c r="D606" s="153"/>
      <c r="E606" s="153"/>
      <c r="F606" s="73">
        <f t="shared" ref="F606:F607" si="29">F607</f>
        <v>10000</v>
      </c>
      <c r="G606" s="73"/>
      <c r="H606" s="73"/>
    </row>
    <row r="607" spans="1:9" x14ac:dyDescent="0.25">
      <c r="A607" s="153">
        <v>37</v>
      </c>
      <c r="B607" s="608" t="s">
        <v>140</v>
      </c>
      <c r="C607" s="608"/>
      <c r="D607" s="608"/>
      <c r="E607" s="608"/>
      <c r="F607" s="73">
        <f t="shared" si="29"/>
        <v>10000</v>
      </c>
      <c r="G607" s="73"/>
      <c r="H607" s="73"/>
    </row>
    <row r="608" spans="1:9" x14ac:dyDescent="0.25">
      <c r="A608" s="153">
        <v>372</v>
      </c>
      <c r="B608" s="153" t="s">
        <v>140</v>
      </c>
      <c r="C608" s="153"/>
      <c r="D608" s="153"/>
      <c r="E608" s="153"/>
      <c r="F608" s="73">
        <f>F609</f>
        <v>10000</v>
      </c>
      <c r="G608" s="73"/>
      <c r="H608" s="73"/>
    </row>
    <row r="609" spans="1:9" x14ac:dyDescent="0.25">
      <c r="A609" s="65">
        <v>3721</v>
      </c>
      <c r="B609" s="65" t="s">
        <v>270</v>
      </c>
      <c r="C609" s="65"/>
      <c r="D609" s="65"/>
      <c r="E609" s="65"/>
      <c r="F609" s="37">
        <v>10000</v>
      </c>
      <c r="G609" s="37">
        <v>10000</v>
      </c>
      <c r="H609" s="37">
        <v>4900</v>
      </c>
      <c r="I609" s="32" t="s">
        <v>674</v>
      </c>
    </row>
    <row r="610" spans="1:9" x14ac:dyDescent="0.25">
      <c r="A610" s="242"/>
      <c r="B610" s="242"/>
      <c r="C610" s="242"/>
      <c r="D610" s="242"/>
      <c r="E610" s="242"/>
      <c r="F610" s="37"/>
      <c r="G610" s="37"/>
      <c r="H610" s="37"/>
    </row>
    <row r="611" spans="1:9" x14ac:dyDescent="0.25">
      <c r="A611" s="619" t="s">
        <v>271</v>
      </c>
      <c r="B611" s="619"/>
      <c r="C611" s="619"/>
      <c r="D611" s="619"/>
      <c r="E611" s="619"/>
      <c r="F611" s="95">
        <f>F612+F623</f>
        <v>37500</v>
      </c>
      <c r="G611" s="95"/>
      <c r="H611" s="95">
        <f t="shared" ref="H611" si="30">H612+H623</f>
        <v>28749.08</v>
      </c>
    </row>
    <row r="612" spans="1:9" x14ac:dyDescent="0.25">
      <c r="A612" s="352" t="s">
        <v>377</v>
      </c>
      <c r="B612" s="353"/>
      <c r="C612" s="353"/>
      <c r="D612" s="353"/>
      <c r="E612" s="354"/>
      <c r="F612" s="76">
        <f>F614</f>
        <v>34000</v>
      </c>
      <c r="G612" s="76"/>
      <c r="H612" s="76">
        <f t="shared" ref="H612" si="31">H614</f>
        <v>27749.08</v>
      </c>
    </row>
    <row r="613" spans="1:9" x14ac:dyDescent="0.25">
      <c r="A613" s="246" t="s">
        <v>401</v>
      </c>
      <c r="B613" s="246"/>
      <c r="C613" s="246"/>
      <c r="D613" s="246"/>
      <c r="E613" s="234"/>
      <c r="F613" s="234"/>
      <c r="G613" s="234"/>
      <c r="H613" s="258"/>
      <c r="I613" s="224"/>
    </row>
    <row r="614" spans="1:9" ht="30.75" customHeight="1" x14ac:dyDescent="0.25">
      <c r="A614" s="620" t="s">
        <v>272</v>
      </c>
      <c r="B614" s="620"/>
      <c r="C614" s="620"/>
      <c r="D614" s="620"/>
      <c r="E614" s="620"/>
      <c r="F614" s="87">
        <f>F616</f>
        <v>34000</v>
      </c>
      <c r="G614" s="87"/>
      <c r="H614" s="88">
        <f>H619+H621</f>
        <v>27749.08</v>
      </c>
    </row>
    <row r="615" spans="1:9" x14ac:dyDescent="0.25">
      <c r="A615" s="242"/>
      <c r="B615" s="242"/>
      <c r="C615" s="242"/>
      <c r="D615" s="242"/>
      <c r="E615" s="242"/>
      <c r="F615" s="73"/>
      <c r="G615" s="73"/>
      <c r="H615" s="73"/>
    </row>
    <row r="616" spans="1:9" x14ac:dyDescent="0.25">
      <c r="A616" s="153">
        <v>3</v>
      </c>
      <c r="B616" s="153" t="s">
        <v>18</v>
      </c>
      <c r="C616" s="153"/>
      <c r="D616" s="153"/>
      <c r="E616" s="241"/>
      <c r="F616" s="73">
        <f>F617+F620</f>
        <v>34000</v>
      </c>
      <c r="G616" s="73"/>
      <c r="H616" s="73"/>
    </row>
    <row r="617" spans="1:9" x14ac:dyDescent="0.25">
      <c r="A617" s="153">
        <v>36</v>
      </c>
      <c r="B617" s="153" t="s">
        <v>213</v>
      </c>
      <c r="C617" s="153"/>
      <c r="D617" s="153"/>
      <c r="E617" s="153"/>
      <c r="F617" s="73">
        <f>F618</f>
        <v>14000</v>
      </c>
      <c r="G617" s="73"/>
      <c r="H617" s="73"/>
    </row>
    <row r="618" spans="1:9" x14ac:dyDescent="0.25">
      <c r="A618" s="153">
        <v>363</v>
      </c>
      <c r="B618" s="153" t="s">
        <v>213</v>
      </c>
      <c r="C618" s="153"/>
      <c r="D618" s="153"/>
      <c r="E618" s="153"/>
      <c r="F618" s="73">
        <f>F619</f>
        <v>14000</v>
      </c>
      <c r="G618" s="73"/>
      <c r="H618" s="73"/>
    </row>
    <row r="619" spans="1:9" x14ac:dyDescent="0.25">
      <c r="A619" s="242">
        <v>3631</v>
      </c>
      <c r="B619" s="242" t="s">
        <v>273</v>
      </c>
      <c r="C619" s="242"/>
      <c r="D619" s="242"/>
      <c r="E619" s="242"/>
      <c r="F619" s="66">
        <v>14000</v>
      </c>
      <c r="G619" s="66">
        <f>14025.6+10974.4-5000</f>
        <v>20000</v>
      </c>
      <c r="H619" s="66">
        <f>11082.38</f>
        <v>11082.38</v>
      </c>
      <c r="I619" s="32" t="s">
        <v>842</v>
      </c>
    </row>
    <row r="620" spans="1:9" x14ac:dyDescent="0.25">
      <c r="A620" s="153">
        <v>38</v>
      </c>
      <c r="B620" s="153" t="s">
        <v>142</v>
      </c>
      <c r="C620" s="153"/>
      <c r="D620" s="153"/>
      <c r="E620" s="153"/>
      <c r="F620" s="73">
        <f>F621</f>
        <v>20000</v>
      </c>
      <c r="G620" s="73"/>
      <c r="H620" s="73"/>
    </row>
    <row r="621" spans="1:9" x14ac:dyDescent="0.25">
      <c r="A621" s="153">
        <v>381</v>
      </c>
      <c r="B621" s="153" t="s">
        <v>274</v>
      </c>
      <c r="C621" s="153"/>
      <c r="D621" s="153"/>
      <c r="E621" s="153"/>
      <c r="F621" s="66">
        <v>20000</v>
      </c>
      <c r="G621" s="66">
        <v>20000</v>
      </c>
      <c r="H621" s="66">
        <v>16666.7</v>
      </c>
      <c r="I621" s="32" t="s">
        <v>839</v>
      </c>
    </row>
    <row r="622" spans="1:9" x14ac:dyDescent="0.25">
      <c r="A622" s="65"/>
      <c r="B622" s="242"/>
      <c r="C622" s="242"/>
      <c r="D622" s="242"/>
      <c r="E622" s="242"/>
      <c r="F622" s="73"/>
      <c r="G622" s="73"/>
      <c r="H622" s="73"/>
    </row>
    <row r="623" spans="1:9" x14ac:dyDescent="0.25">
      <c r="A623" s="557" t="s">
        <v>378</v>
      </c>
      <c r="B623" s="557"/>
      <c r="C623" s="557"/>
      <c r="D623" s="557"/>
      <c r="E623" s="75"/>
      <c r="F623" s="76">
        <f>F625</f>
        <v>3500</v>
      </c>
      <c r="G623" s="76"/>
      <c r="H623" s="76">
        <f t="shared" ref="H623" si="32">H625</f>
        <v>1000</v>
      </c>
    </row>
    <row r="624" spans="1:9" x14ac:dyDescent="0.25">
      <c r="A624" s="246" t="s">
        <v>402</v>
      </c>
      <c r="B624" s="246"/>
      <c r="C624" s="246"/>
      <c r="D624" s="246"/>
      <c r="E624" s="234"/>
      <c r="F624" s="234"/>
      <c r="G624" s="234"/>
      <c r="H624" s="258"/>
      <c r="I624" s="224"/>
    </row>
    <row r="625" spans="1:9" x14ac:dyDescent="0.25">
      <c r="A625" s="617" t="s">
        <v>455</v>
      </c>
      <c r="B625" s="617"/>
      <c r="C625" s="617"/>
      <c r="D625" s="617"/>
      <c r="E625" s="617"/>
      <c r="F625" s="237">
        <f>F627</f>
        <v>3500</v>
      </c>
      <c r="G625" s="237"/>
      <c r="H625" s="237">
        <f>H631</f>
        <v>1000</v>
      </c>
      <c r="I625" s="154"/>
    </row>
    <row r="626" spans="1:9" x14ac:dyDescent="0.25">
      <c r="A626" s="241"/>
      <c r="B626" s="241"/>
      <c r="C626" s="241"/>
      <c r="D626" s="241"/>
      <c r="E626" s="241"/>
      <c r="F626" s="37"/>
      <c r="G626" s="37"/>
      <c r="H626" s="37"/>
    </row>
    <row r="627" spans="1:9" x14ac:dyDescent="0.25">
      <c r="A627" s="153">
        <v>3</v>
      </c>
      <c r="B627" s="153" t="s">
        <v>18</v>
      </c>
      <c r="C627" s="153"/>
      <c r="D627" s="153"/>
      <c r="E627" s="153"/>
      <c r="F627" s="73">
        <f>F628</f>
        <v>3500</v>
      </c>
      <c r="G627" s="73"/>
      <c r="H627" s="73"/>
    </row>
    <row r="628" spans="1:9" x14ac:dyDescent="0.25">
      <c r="A628" s="153">
        <v>38</v>
      </c>
      <c r="B628" s="153" t="s">
        <v>142</v>
      </c>
      <c r="C628" s="153"/>
      <c r="D628" s="153"/>
      <c r="E628" s="153"/>
      <c r="F628" s="73">
        <f>F629</f>
        <v>3500</v>
      </c>
      <c r="G628" s="73"/>
      <c r="H628" s="73"/>
    </row>
    <row r="629" spans="1:9" x14ac:dyDescent="0.25">
      <c r="A629" s="153">
        <v>381</v>
      </c>
      <c r="B629" s="153" t="s">
        <v>143</v>
      </c>
      <c r="C629" s="153"/>
      <c r="D629" s="153"/>
      <c r="E629" s="153"/>
      <c r="F629" s="73">
        <f>F630+F631</f>
        <v>3500</v>
      </c>
      <c r="G629" s="73"/>
      <c r="H629" s="73"/>
    </row>
    <row r="630" spans="1:9" x14ac:dyDescent="0.25">
      <c r="A630" s="242">
        <v>3811</v>
      </c>
      <c r="B630" s="245" t="s">
        <v>419</v>
      </c>
      <c r="C630" s="245"/>
      <c r="D630" s="238"/>
      <c r="E630" s="245"/>
      <c r="F630" s="37">
        <v>1000</v>
      </c>
      <c r="G630" s="37">
        <v>1000</v>
      </c>
      <c r="H630" s="37"/>
    </row>
    <row r="631" spans="1:9" x14ac:dyDescent="0.25">
      <c r="A631" s="242">
        <v>3811</v>
      </c>
      <c r="B631" s="65" t="s">
        <v>276</v>
      </c>
      <c r="C631" s="242"/>
      <c r="D631" s="242"/>
      <c r="E631" s="242"/>
      <c r="F631" s="37">
        <v>2500</v>
      </c>
      <c r="G631" s="37">
        <v>2000</v>
      </c>
      <c r="H631" s="37">
        <v>1000</v>
      </c>
    </row>
    <row r="632" spans="1:9" x14ac:dyDescent="0.25">
      <c r="A632" s="242"/>
      <c r="B632" s="65"/>
      <c r="C632" s="242"/>
      <c r="D632" s="242"/>
      <c r="E632" s="242"/>
      <c r="F632" s="37"/>
      <c r="G632" s="37"/>
      <c r="H632" s="37"/>
    </row>
    <row r="633" spans="1:9" x14ac:dyDescent="0.25">
      <c r="A633" s="83" t="s">
        <v>84</v>
      </c>
      <c r="B633" s="83"/>
      <c r="C633" s="83"/>
      <c r="D633" s="83"/>
      <c r="E633" s="83"/>
      <c r="F633" s="84">
        <f>F634+F643+F652</f>
        <v>67000</v>
      </c>
      <c r="G633" s="84"/>
      <c r="H633" s="84">
        <f>H634+H643+H652</f>
        <v>63400</v>
      </c>
    </row>
    <row r="634" spans="1:9" x14ac:dyDescent="0.25">
      <c r="A634" s="289" t="s">
        <v>379</v>
      </c>
      <c r="B634" s="289"/>
      <c r="C634" s="289"/>
      <c r="D634" s="289"/>
      <c r="E634" s="75"/>
      <c r="F634" s="76">
        <f>F636</f>
        <v>57000</v>
      </c>
      <c r="G634" s="76"/>
      <c r="H634" s="76">
        <f t="shared" ref="H634" si="33">H636</f>
        <v>57000</v>
      </c>
    </row>
    <row r="635" spans="1:9" x14ac:dyDescent="0.25">
      <c r="A635" s="246" t="s">
        <v>403</v>
      </c>
      <c r="B635" s="246"/>
      <c r="C635" s="246"/>
      <c r="D635" s="246"/>
      <c r="E635" s="234"/>
      <c r="F635" s="234"/>
      <c r="G635" s="234"/>
      <c r="H635" s="258"/>
      <c r="I635" s="224"/>
    </row>
    <row r="636" spans="1:9" x14ac:dyDescent="0.25">
      <c r="A636" s="612" t="s">
        <v>277</v>
      </c>
      <c r="B636" s="612"/>
      <c r="C636" s="612"/>
      <c r="D636" s="612"/>
      <c r="E636" s="612"/>
      <c r="F636" s="87">
        <f>F638</f>
        <v>57000</v>
      </c>
      <c r="G636" s="87"/>
      <c r="H636" s="88">
        <f>H641</f>
        <v>57000</v>
      </c>
    </row>
    <row r="637" spans="1:9" x14ac:dyDescent="0.25">
      <c r="A637" s="242"/>
      <c r="B637" s="65"/>
      <c r="C637" s="242"/>
      <c r="D637" s="242"/>
      <c r="E637" s="242"/>
      <c r="F637" s="37"/>
      <c r="G637" s="37"/>
      <c r="H637" s="37"/>
    </row>
    <row r="638" spans="1:9" x14ac:dyDescent="0.25">
      <c r="A638" s="153">
        <v>3</v>
      </c>
      <c r="B638" s="153" t="s">
        <v>18</v>
      </c>
      <c r="C638" s="153"/>
      <c r="D638" s="153"/>
      <c r="E638" s="153"/>
      <c r="F638" s="73">
        <f t="shared" ref="F638:F640" si="34">F639</f>
        <v>57000</v>
      </c>
      <c r="G638" s="73"/>
      <c r="H638" s="73"/>
    </row>
    <row r="639" spans="1:9" x14ac:dyDescent="0.25">
      <c r="A639" s="153">
        <v>38</v>
      </c>
      <c r="B639" s="153" t="s">
        <v>142</v>
      </c>
      <c r="C639" s="153"/>
      <c r="D639" s="153"/>
      <c r="E639" s="153"/>
      <c r="F639" s="73">
        <f t="shared" si="34"/>
        <v>57000</v>
      </c>
      <c r="G639" s="73"/>
      <c r="H639" s="73"/>
    </row>
    <row r="640" spans="1:9" x14ac:dyDescent="0.25">
      <c r="A640" s="153">
        <v>381</v>
      </c>
      <c r="B640" s="153" t="s">
        <v>143</v>
      </c>
      <c r="C640" s="153"/>
      <c r="D640" s="153"/>
      <c r="E640" s="153"/>
      <c r="F640" s="73">
        <f t="shared" si="34"/>
        <v>57000</v>
      </c>
      <c r="G640" s="73"/>
      <c r="H640" s="73"/>
      <c r="I640" s="32" t="s">
        <v>765</v>
      </c>
    </row>
    <row r="641" spans="1:20" x14ac:dyDescent="0.25">
      <c r="A641" s="65">
        <v>3811</v>
      </c>
      <c r="B641" s="65" t="s">
        <v>278</v>
      </c>
      <c r="C641" s="65"/>
      <c r="D641" s="65"/>
      <c r="E641" s="65"/>
      <c r="F641" s="37">
        <v>57000</v>
      </c>
      <c r="G641" s="37">
        <f>62000+1000</f>
        <v>63000</v>
      </c>
      <c r="H641" s="37">
        <v>57000</v>
      </c>
      <c r="I641" s="32" t="s">
        <v>675</v>
      </c>
      <c r="J641" s="32" t="s">
        <v>676</v>
      </c>
      <c r="M641" s="32" t="s">
        <v>677</v>
      </c>
      <c r="Q641" t="s">
        <v>846</v>
      </c>
    </row>
    <row r="642" spans="1:20" x14ac:dyDescent="0.25">
      <c r="A642" s="242"/>
      <c r="B642" s="242"/>
      <c r="C642" s="242"/>
      <c r="D642" s="242"/>
      <c r="E642" s="242"/>
      <c r="F642" s="37"/>
      <c r="G642" s="37"/>
      <c r="H642" s="37"/>
    </row>
    <row r="643" spans="1:20" x14ac:dyDescent="0.25">
      <c r="A643" s="289" t="s">
        <v>380</v>
      </c>
      <c r="B643" s="289"/>
      <c r="C643" s="289"/>
      <c r="D643" s="289"/>
      <c r="E643" s="75"/>
      <c r="F643" s="76">
        <f>F645</f>
        <v>5000</v>
      </c>
      <c r="G643" s="76"/>
      <c r="H643" s="76">
        <f t="shared" ref="H643" si="35">H645</f>
        <v>5000</v>
      </c>
    </row>
    <row r="644" spans="1:20" x14ac:dyDescent="0.25">
      <c r="A644" s="246" t="s">
        <v>404</v>
      </c>
      <c r="B644" s="246"/>
      <c r="C644" s="246"/>
      <c r="D644" s="246"/>
      <c r="E644" s="234"/>
      <c r="F644" s="234"/>
      <c r="G644" s="234"/>
      <c r="H644" s="258"/>
      <c r="I644" s="224"/>
    </row>
    <row r="645" spans="1:20" x14ac:dyDescent="0.25">
      <c r="A645" s="621" t="s">
        <v>744</v>
      </c>
      <c r="B645" s="621"/>
      <c r="C645" s="621"/>
      <c r="D645" s="621"/>
      <c r="E645" s="621"/>
      <c r="F645" s="87">
        <f>F647</f>
        <v>5000</v>
      </c>
      <c r="G645" s="87"/>
      <c r="H645" s="88">
        <f>H650</f>
        <v>5000</v>
      </c>
    </row>
    <row r="646" spans="1:20" x14ac:dyDescent="0.25">
      <c r="A646" s="242"/>
      <c r="B646" s="65"/>
      <c r="C646" s="242"/>
      <c r="D646" s="242"/>
      <c r="E646" s="242"/>
      <c r="F646" s="37"/>
      <c r="G646" s="37"/>
      <c r="H646" s="37"/>
    </row>
    <row r="647" spans="1:20" x14ac:dyDescent="0.25">
      <c r="A647" s="153">
        <v>3</v>
      </c>
      <c r="B647" s="153" t="s">
        <v>18</v>
      </c>
      <c r="C647" s="153"/>
      <c r="D647" s="153"/>
      <c r="E647" s="153"/>
      <c r="F647" s="73">
        <f>F648</f>
        <v>5000</v>
      </c>
      <c r="G647" s="73"/>
      <c r="H647" s="73"/>
    </row>
    <row r="648" spans="1:20" x14ac:dyDescent="0.25">
      <c r="A648" s="153">
        <v>38</v>
      </c>
      <c r="B648" s="153" t="s">
        <v>142</v>
      </c>
      <c r="C648" s="153"/>
      <c r="D648" s="153"/>
      <c r="E648" s="153"/>
      <c r="F648" s="73">
        <f>F649</f>
        <v>5000</v>
      </c>
      <c r="G648" s="73"/>
      <c r="H648" s="73"/>
      <c r="I648" s="32" t="s">
        <v>764</v>
      </c>
    </row>
    <row r="649" spans="1:20" x14ac:dyDescent="0.25">
      <c r="A649" s="153">
        <v>381</v>
      </c>
      <c r="B649" s="153" t="s">
        <v>348</v>
      </c>
      <c r="C649" s="153"/>
      <c r="D649" s="153"/>
      <c r="E649" s="153"/>
      <c r="F649" s="73">
        <f>F650</f>
        <v>5000</v>
      </c>
      <c r="G649" s="73"/>
      <c r="H649" s="73"/>
      <c r="I649" s="32" t="s">
        <v>724</v>
      </c>
      <c r="J649" s="32" t="s">
        <v>723</v>
      </c>
    </row>
    <row r="650" spans="1:20" x14ac:dyDescent="0.25">
      <c r="A650" s="65">
        <v>3811</v>
      </c>
      <c r="B650" s="65" t="s">
        <v>347</v>
      </c>
      <c r="C650" s="65"/>
      <c r="D650" s="65"/>
      <c r="E650" s="65"/>
      <c r="F650" s="66">
        <v>5000</v>
      </c>
      <c r="G650" s="66">
        <v>6000</v>
      </c>
      <c r="H650" s="66">
        <v>5000</v>
      </c>
    </row>
    <row r="651" spans="1:20" x14ac:dyDescent="0.25">
      <c r="A651" s="153"/>
      <c r="B651" s="153"/>
      <c r="C651" s="242"/>
      <c r="D651" s="242"/>
      <c r="E651" s="242"/>
      <c r="F651" s="73"/>
      <c r="G651" s="73"/>
      <c r="H651" s="73"/>
    </row>
    <row r="652" spans="1:20" x14ac:dyDescent="0.25">
      <c r="A652" s="492" t="s">
        <v>498</v>
      </c>
      <c r="B652" s="493"/>
      <c r="C652" s="493"/>
      <c r="D652" s="493"/>
      <c r="E652" s="494"/>
      <c r="F652" s="76">
        <f>F654</f>
        <v>5000</v>
      </c>
      <c r="G652" s="76"/>
      <c r="H652" s="76">
        <f t="shared" ref="H652" si="36">H654</f>
        <v>1400</v>
      </c>
    </row>
    <row r="653" spans="1:20" x14ac:dyDescent="0.25">
      <c r="A653" s="246" t="s">
        <v>405</v>
      </c>
      <c r="B653" s="246"/>
      <c r="C653" s="246"/>
      <c r="D653" s="246"/>
      <c r="E653" s="234"/>
      <c r="F653" s="234"/>
      <c r="G653" s="234"/>
      <c r="H653" s="258"/>
      <c r="I653" s="224"/>
    </row>
    <row r="654" spans="1:20" x14ac:dyDescent="0.25">
      <c r="A654" s="90" t="s">
        <v>745</v>
      </c>
      <c r="B654" s="93"/>
      <c r="C654" s="93"/>
      <c r="D654" s="93"/>
      <c r="E654" s="93"/>
      <c r="F654" s="87">
        <f>F656</f>
        <v>5000</v>
      </c>
      <c r="G654" s="87"/>
      <c r="H654" s="88">
        <f>H659</f>
        <v>1400</v>
      </c>
      <c r="R654" s="111"/>
    </row>
    <row r="655" spans="1:20" x14ac:dyDescent="0.25">
      <c r="A655" s="242"/>
      <c r="B655" s="65"/>
      <c r="C655" s="242"/>
      <c r="D655" s="242"/>
      <c r="E655" s="242"/>
      <c r="F655" s="73"/>
      <c r="G655" s="73"/>
      <c r="H655" s="73"/>
    </row>
    <row r="656" spans="1:20" x14ac:dyDescent="0.25">
      <c r="A656" s="153">
        <v>3</v>
      </c>
      <c r="B656" s="153" t="s">
        <v>18</v>
      </c>
      <c r="C656" s="153"/>
      <c r="D656" s="153"/>
      <c r="E656" s="153"/>
      <c r="F656" s="73">
        <f t="shared" ref="F656:F658" si="37">F657</f>
        <v>5000</v>
      </c>
      <c r="G656" s="73"/>
      <c r="H656" s="73"/>
      <c r="S656" s="111"/>
      <c r="T656" s="111"/>
    </row>
    <row r="657" spans="1:17" x14ac:dyDescent="0.25">
      <c r="A657" s="153">
        <v>38</v>
      </c>
      <c r="B657" s="153" t="s">
        <v>142</v>
      </c>
      <c r="C657" s="153"/>
      <c r="D657" s="153"/>
      <c r="E657" s="153"/>
      <c r="F657" s="73">
        <f t="shared" si="37"/>
        <v>5000</v>
      </c>
      <c r="G657" s="73"/>
      <c r="H657" s="73"/>
      <c r="O657" s="151"/>
      <c r="P657" s="151"/>
      <c r="Q657" s="111"/>
    </row>
    <row r="658" spans="1:17" x14ac:dyDescent="0.25">
      <c r="A658" s="153">
        <v>381</v>
      </c>
      <c r="B658" s="153" t="s">
        <v>279</v>
      </c>
      <c r="C658" s="153"/>
      <c r="D658" s="153"/>
      <c r="E658" s="153"/>
      <c r="F658" s="73">
        <f t="shared" si="37"/>
        <v>5000</v>
      </c>
      <c r="G658" s="73"/>
      <c r="H658" s="73"/>
    </row>
    <row r="659" spans="1:17" ht="14.25" customHeight="1" x14ac:dyDescent="0.25">
      <c r="A659" s="65">
        <v>3811</v>
      </c>
      <c r="B659" s="65" t="s">
        <v>347</v>
      </c>
      <c r="C659" s="153"/>
      <c r="D659" s="153"/>
      <c r="E659" s="153"/>
      <c r="F659" s="66">
        <v>5000</v>
      </c>
      <c r="G659" s="66">
        <v>5000</v>
      </c>
      <c r="H659" s="66">
        <v>1400</v>
      </c>
      <c r="I659" s="32" t="s">
        <v>781</v>
      </c>
    </row>
    <row r="660" spans="1:17" ht="13.5" customHeight="1" x14ac:dyDescent="0.25">
      <c r="A660" s="242"/>
      <c r="B660" s="65"/>
      <c r="C660" s="242"/>
      <c r="D660" s="242"/>
      <c r="E660" s="242"/>
      <c r="F660" s="66"/>
      <c r="G660" s="66"/>
      <c r="H660" s="66"/>
    </row>
    <row r="661" spans="1:17" x14ac:dyDescent="0.25">
      <c r="A661" s="83" t="s">
        <v>86</v>
      </c>
      <c r="B661" s="83"/>
      <c r="C661" s="83"/>
      <c r="D661" s="83"/>
      <c r="E661" s="83"/>
      <c r="F661" s="84">
        <f>F662+F706+F716</f>
        <v>176175</v>
      </c>
      <c r="G661" s="84"/>
      <c r="H661" s="84">
        <f>H662+H706+H716</f>
        <v>110762.5</v>
      </c>
    </row>
    <row r="662" spans="1:17" x14ac:dyDescent="0.25">
      <c r="A662" s="48" t="s">
        <v>381</v>
      </c>
      <c r="B662" s="48"/>
      <c r="C662" s="48"/>
      <c r="D662" s="48"/>
      <c r="E662" s="75"/>
      <c r="F662" s="76">
        <f>F664+F684+F692</f>
        <v>163075</v>
      </c>
      <c r="G662" s="76"/>
      <c r="H662" s="76">
        <f>H664+H684+H692</f>
        <v>106012.5</v>
      </c>
    </row>
    <row r="663" spans="1:17" x14ac:dyDescent="0.25">
      <c r="A663" s="246" t="s">
        <v>406</v>
      </c>
      <c r="B663" s="246"/>
      <c r="C663" s="246"/>
      <c r="D663" s="246"/>
      <c r="E663" s="234"/>
      <c r="F663" s="234"/>
      <c r="G663" s="234"/>
      <c r="H663" s="258"/>
      <c r="I663" s="224"/>
    </row>
    <row r="664" spans="1:17" x14ac:dyDescent="0.25">
      <c r="A664" s="90" t="s">
        <v>87</v>
      </c>
      <c r="B664" s="93"/>
      <c r="C664" s="93"/>
      <c r="D664" s="93"/>
      <c r="E664" s="93"/>
      <c r="F664" s="87">
        <f>F666</f>
        <v>54890</v>
      </c>
      <c r="G664" s="87"/>
      <c r="H664" s="88">
        <f>SUM(H666:H681)</f>
        <v>31395.629999999997</v>
      </c>
    </row>
    <row r="665" spans="1:17" x14ac:dyDescent="0.25">
      <c r="A665" s="241"/>
      <c r="B665" s="242"/>
      <c r="C665" s="242"/>
      <c r="D665" s="242"/>
      <c r="E665" s="242"/>
      <c r="F665" s="73"/>
      <c r="G665" s="73"/>
      <c r="H665" s="73"/>
    </row>
    <row r="666" spans="1:17" x14ac:dyDescent="0.25">
      <c r="A666" s="153">
        <v>3</v>
      </c>
      <c r="B666" s="153" t="s">
        <v>18</v>
      </c>
      <c r="C666" s="153"/>
      <c r="D666" s="153"/>
      <c r="E666" s="153"/>
      <c r="F666" s="73">
        <f>F667+F679</f>
        <v>54890</v>
      </c>
      <c r="G666" s="73"/>
      <c r="H666" s="73"/>
    </row>
    <row r="667" spans="1:17" x14ac:dyDescent="0.25">
      <c r="A667" s="153">
        <v>37</v>
      </c>
      <c r="B667" s="153" t="s">
        <v>140</v>
      </c>
      <c r="C667" s="153"/>
      <c r="D667" s="153"/>
      <c r="E667" s="153"/>
      <c r="F667" s="73">
        <f>F668</f>
        <v>47300</v>
      </c>
      <c r="G667" s="73"/>
      <c r="H667" s="73"/>
    </row>
    <row r="668" spans="1:17" x14ac:dyDescent="0.25">
      <c r="A668" s="153">
        <v>372</v>
      </c>
      <c r="B668" s="153" t="s">
        <v>140</v>
      </c>
      <c r="C668" s="153"/>
      <c r="D668" s="153"/>
      <c r="E668" s="153"/>
      <c r="F668" s="73">
        <f>F669+F670+F671+F672+F673+F674+F675+F678</f>
        <v>47300</v>
      </c>
      <c r="G668" s="73"/>
      <c r="H668" s="73"/>
    </row>
    <row r="669" spans="1:17" x14ac:dyDescent="0.25">
      <c r="A669" s="242">
        <v>3721</v>
      </c>
      <c r="B669" s="242" t="s">
        <v>280</v>
      </c>
      <c r="C669" s="242"/>
      <c r="D669" s="242"/>
      <c r="E669" s="242"/>
      <c r="F669" s="66">
        <v>1000</v>
      </c>
      <c r="G669" s="66">
        <v>1000</v>
      </c>
      <c r="H669" s="66">
        <f>52.38+438.16</f>
        <v>490.54</v>
      </c>
    </row>
    <row r="670" spans="1:17" x14ac:dyDescent="0.25">
      <c r="A670" s="65">
        <v>3721</v>
      </c>
      <c r="B670" s="65" t="s">
        <v>777</v>
      </c>
      <c r="C670" s="65"/>
      <c r="D670" s="65"/>
      <c r="E670" s="65"/>
      <c r="F670" s="66">
        <v>1500</v>
      </c>
      <c r="G670" s="66">
        <f>1400+100</f>
        <v>1500</v>
      </c>
      <c r="H670" s="66">
        <f>300+100</f>
        <v>400</v>
      </c>
      <c r="I670" s="32" t="s">
        <v>779</v>
      </c>
      <c r="K670" s="32">
        <v>100</v>
      </c>
    </row>
    <row r="671" spans="1:17" x14ac:dyDescent="0.25">
      <c r="A671" s="65">
        <v>3721</v>
      </c>
      <c r="B671" s="591" t="s">
        <v>314</v>
      </c>
      <c r="C671" s="591"/>
      <c r="D671" s="591"/>
      <c r="E671" s="591"/>
      <c r="F671" s="66">
        <f>4*1200</f>
        <v>4800</v>
      </c>
      <c r="G671" s="66">
        <v>4800</v>
      </c>
      <c r="H671" s="66"/>
      <c r="I671" s="32" t="s">
        <v>625</v>
      </c>
      <c r="K671" s="32" t="s">
        <v>778</v>
      </c>
    </row>
    <row r="672" spans="1:17" x14ac:dyDescent="0.25">
      <c r="A672" s="65">
        <v>3721</v>
      </c>
      <c r="B672" s="65" t="s">
        <v>281</v>
      </c>
      <c r="C672" s="65"/>
      <c r="D672" s="65"/>
      <c r="E672" s="65"/>
      <c r="F672" s="66">
        <v>15000</v>
      </c>
      <c r="G672" s="66">
        <v>20000</v>
      </c>
      <c r="H672" s="66">
        <v>9800</v>
      </c>
    </row>
    <row r="673" spans="1:10" x14ac:dyDescent="0.25">
      <c r="A673" s="65">
        <v>3721</v>
      </c>
      <c r="B673" s="65" t="s">
        <v>282</v>
      </c>
      <c r="C673" s="65"/>
      <c r="D673" s="65"/>
      <c r="E673" s="65"/>
      <c r="F673" s="66">
        <v>6000</v>
      </c>
      <c r="G673" s="66">
        <v>6000</v>
      </c>
      <c r="H673" s="66">
        <v>6200</v>
      </c>
    </row>
    <row r="674" spans="1:10" x14ac:dyDescent="0.25">
      <c r="A674" s="65">
        <v>3721</v>
      </c>
      <c r="B674" s="65" t="s">
        <v>283</v>
      </c>
      <c r="C674" s="65"/>
      <c r="D674" s="65"/>
      <c r="E674" s="65"/>
      <c r="F674" s="66">
        <f>21000-3000</f>
        <v>18000</v>
      </c>
      <c r="G674" s="66">
        <v>30000</v>
      </c>
      <c r="H674" s="66">
        <v>7000</v>
      </c>
      <c r="I674" s="32" t="s">
        <v>624</v>
      </c>
    </row>
    <row r="675" spans="1:10" x14ac:dyDescent="0.25">
      <c r="A675" s="65">
        <v>3721</v>
      </c>
      <c r="B675" s="65" t="s">
        <v>285</v>
      </c>
      <c r="C675" s="242"/>
      <c r="D675" s="242"/>
      <c r="E675" s="242"/>
      <c r="F675" s="66">
        <v>500</v>
      </c>
      <c r="G675" s="66">
        <v>500</v>
      </c>
      <c r="H675" s="66">
        <f>245.35+30.36</f>
        <v>275.70999999999998</v>
      </c>
    </row>
    <row r="676" spans="1:10" x14ac:dyDescent="0.25">
      <c r="A676" s="65"/>
      <c r="B676" s="65" t="s">
        <v>844</v>
      </c>
      <c r="C676" s="242"/>
      <c r="D676" s="242"/>
      <c r="E676" s="242"/>
      <c r="F676" s="66"/>
      <c r="G676" s="66">
        <v>6000</v>
      </c>
      <c r="H676" s="66"/>
    </row>
    <row r="677" spans="1:10" x14ac:dyDescent="0.25">
      <c r="A677" s="65"/>
      <c r="B677" s="65" t="s">
        <v>822</v>
      </c>
      <c r="C677" s="242"/>
      <c r="D677" s="242"/>
      <c r="E677" s="242"/>
      <c r="F677" s="66"/>
      <c r="G677" s="66">
        <v>10000</v>
      </c>
      <c r="H677" s="66"/>
    </row>
    <row r="678" spans="1:10" ht="18" customHeight="1" x14ac:dyDescent="0.25">
      <c r="A678" s="242">
        <v>3722</v>
      </c>
      <c r="B678" s="65" t="s">
        <v>417</v>
      </c>
      <c r="C678" s="242"/>
      <c r="D678" s="65"/>
      <c r="E678" s="65"/>
      <c r="F678" s="66">
        <v>500</v>
      </c>
      <c r="G678" s="66">
        <v>1000</v>
      </c>
      <c r="H678" s="66">
        <v>996.98</v>
      </c>
    </row>
    <row r="679" spans="1:10" x14ac:dyDescent="0.25">
      <c r="A679" s="153">
        <v>38</v>
      </c>
      <c r="B679" s="153" t="s">
        <v>142</v>
      </c>
      <c r="C679" s="242"/>
      <c r="D679" s="242"/>
      <c r="E679" s="242"/>
      <c r="F679" s="73">
        <f>F680</f>
        <v>7590</v>
      </c>
      <c r="G679" s="73"/>
      <c r="H679" s="73"/>
    </row>
    <row r="680" spans="1:10" x14ac:dyDescent="0.25">
      <c r="A680" s="153">
        <v>381</v>
      </c>
      <c r="B680" s="153" t="s">
        <v>143</v>
      </c>
      <c r="C680" s="153"/>
      <c r="D680" s="153"/>
      <c r="E680" s="153"/>
      <c r="F680" s="73">
        <f>F681</f>
        <v>7590</v>
      </c>
      <c r="G680" s="73"/>
      <c r="H680" s="73"/>
    </row>
    <row r="681" spans="1:10" x14ac:dyDescent="0.25">
      <c r="A681" s="65">
        <v>3811</v>
      </c>
      <c r="B681" s="65" t="s">
        <v>418</v>
      </c>
      <c r="C681" s="242"/>
      <c r="D681" s="242"/>
      <c r="E681" s="242"/>
      <c r="F681" s="66">
        <v>7590</v>
      </c>
      <c r="G681" s="66">
        <v>8000</v>
      </c>
      <c r="H681" s="66">
        <v>6232.4</v>
      </c>
      <c r="J681" s="32" t="s">
        <v>623</v>
      </c>
    </row>
    <row r="682" spans="1:10" x14ac:dyDescent="0.25">
      <c r="A682" s="65"/>
      <c r="B682" s="65"/>
      <c r="C682" s="242"/>
      <c r="D682" s="242"/>
      <c r="E682" s="242"/>
      <c r="F682" s="66"/>
      <c r="G682" s="66"/>
      <c r="H682" s="66"/>
      <c r="J682" s="32">
        <f>632*12</f>
        <v>7584</v>
      </c>
    </row>
    <row r="683" spans="1:10" x14ac:dyDescent="0.25">
      <c r="A683" s="246" t="s">
        <v>406</v>
      </c>
      <c r="B683" s="246"/>
      <c r="C683" s="246"/>
      <c r="D683" s="246"/>
      <c r="E683" s="234"/>
      <c r="F683" s="234"/>
      <c r="G683" s="234"/>
      <c r="H683" s="258"/>
      <c r="I683" s="225"/>
    </row>
    <row r="684" spans="1:10" x14ac:dyDescent="0.25">
      <c r="A684" s="90" t="s">
        <v>88</v>
      </c>
      <c r="B684" s="93"/>
      <c r="C684" s="93"/>
      <c r="D684" s="93"/>
      <c r="E684" s="93"/>
      <c r="F684" s="87">
        <f>F686</f>
        <v>2000</v>
      </c>
      <c r="G684" s="87"/>
      <c r="H684" s="88"/>
    </row>
    <row r="685" spans="1:10" x14ac:dyDescent="0.25">
      <c r="A685" s="248"/>
      <c r="B685" s="248"/>
      <c r="C685" s="248"/>
      <c r="D685" s="248"/>
      <c r="E685" s="248"/>
      <c r="F685" s="66"/>
      <c r="G685" s="66"/>
      <c r="H685" s="66"/>
    </row>
    <row r="686" spans="1:10" x14ac:dyDescent="0.25">
      <c r="A686" s="153">
        <v>3</v>
      </c>
      <c r="B686" s="153" t="s">
        <v>18</v>
      </c>
      <c r="C686" s="153"/>
      <c r="D686" s="153"/>
      <c r="E686" s="65"/>
      <c r="F686" s="73">
        <f>F687</f>
        <v>2000</v>
      </c>
      <c r="G686" s="73"/>
      <c r="H686" s="73"/>
    </row>
    <row r="687" spans="1:10" x14ac:dyDescent="0.25">
      <c r="A687" s="153">
        <v>37</v>
      </c>
      <c r="B687" s="153" t="s">
        <v>140</v>
      </c>
      <c r="C687" s="153"/>
      <c r="D687" s="153"/>
      <c r="E687" s="153"/>
      <c r="F687" s="73">
        <f>F688</f>
        <v>2000</v>
      </c>
      <c r="G687" s="73"/>
      <c r="H687" s="73"/>
    </row>
    <row r="688" spans="1:10" x14ac:dyDescent="0.25">
      <c r="A688" s="153">
        <v>372</v>
      </c>
      <c r="B688" s="153" t="s">
        <v>141</v>
      </c>
      <c r="C688" s="153"/>
      <c r="D688" s="153"/>
      <c r="E688" s="153"/>
      <c r="F688" s="73">
        <f>F689</f>
        <v>2000</v>
      </c>
      <c r="G688" s="73"/>
      <c r="H688" s="73"/>
    </row>
    <row r="689" spans="1:16" ht="17.25" customHeight="1" x14ac:dyDescent="0.25">
      <c r="A689" s="242">
        <v>3722</v>
      </c>
      <c r="B689" s="65" t="s">
        <v>286</v>
      </c>
      <c r="C689" s="242"/>
      <c r="D689" s="242"/>
      <c r="E689" s="242"/>
      <c r="F689" s="66">
        <v>2000</v>
      </c>
      <c r="G689" s="66">
        <v>2500</v>
      </c>
      <c r="H689" s="66"/>
    </row>
    <row r="690" spans="1:16" x14ac:dyDescent="0.25">
      <c r="A690" s="242"/>
      <c r="B690" s="238"/>
      <c r="C690" s="238"/>
      <c r="D690" s="238"/>
      <c r="E690" s="238"/>
      <c r="F690" s="66"/>
      <c r="G690" s="66"/>
      <c r="H690" s="66"/>
    </row>
    <row r="691" spans="1:16" x14ac:dyDescent="0.25">
      <c r="A691" s="246" t="s">
        <v>407</v>
      </c>
      <c r="B691" s="246"/>
      <c r="C691" s="246"/>
      <c r="D691" s="246"/>
      <c r="E691" s="234"/>
      <c r="F691" s="234"/>
      <c r="G691" s="234"/>
      <c r="H691" s="258"/>
      <c r="I691" s="224"/>
    </row>
    <row r="692" spans="1:16" x14ac:dyDescent="0.25">
      <c r="A692" s="614" t="s">
        <v>480</v>
      </c>
      <c r="B692" s="614"/>
      <c r="C692" s="614"/>
      <c r="D692" s="614"/>
      <c r="E692" s="614"/>
      <c r="F692" s="88">
        <f>F694</f>
        <v>106185</v>
      </c>
      <c r="G692" s="88"/>
      <c r="H692" s="88">
        <f>SUM(H694:H704)</f>
        <v>74616.87</v>
      </c>
    </row>
    <row r="693" spans="1:16" x14ac:dyDescent="0.25">
      <c r="A693" s="242"/>
      <c r="B693" s="65"/>
      <c r="C693" s="242"/>
      <c r="D693" s="242"/>
      <c r="E693" s="242"/>
      <c r="F693" s="73"/>
      <c r="G693" s="73"/>
      <c r="H693" s="73"/>
      <c r="J693" s="32" t="s">
        <v>313</v>
      </c>
    </row>
    <row r="694" spans="1:16" x14ac:dyDescent="0.25">
      <c r="A694" s="153">
        <v>3</v>
      </c>
      <c r="B694" s="608" t="s">
        <v>18</v>
      </c>
      <c r="C694" s="608"/>
      <c r="D694" s="608"/>
      <c r="E694" s="608"/>
      <c r="F694" s="73">
        <f>F695+F702</f>
        <v>106185</v>
      </c>
      <c r="G694" s="73"/>
      <c r="H694" s="73"/>
    </row>
    <row r="695" spans="1:16" x14ac:dyDescent="0.25">
      <c r="A695" s="153">
        <v>31</v>
      </c>
      <c r="B695" s="608" t="s">
        <v>128</v>
      </c>
      <c r="C695" s="608"/>
      <c r="D695" s="608"/>
      <c r="E695" s="608"/>
      <c r="F695" s="73">
        <f>F696+F698+F700</f>
        <v>101985</v>
      </c>
      <c r="G695" s="73"/>
      <c r="H695" s="73"/>
    </row>
    <row r="696" spans="1:16" x14ac:dyDescent="0.25">
      <c r="A696" s="153">
        <v>311</v>
      </c>
      <c r="B696" s="243" t="s">
        <v>129</v>
      </c>
      <c r="C696" s="243"/>
      <c r="D696" s="243"/>
      <c r="E696" s="243"/>
      <c r="F696" s="73">
        <f>F697</f>
        <v>83640</v>
      </c>
      <c r="G696" s="73"/>
      <c r="H696" s="73"/>
      <c r="J696" s="32" t="s">
        <v>439</v>
      </c>
    </row>
    <row r="697" spans="1:16" x14ac:dyDescent="0.25">
      <c r="A697" s="242">
        <v>3111</v>
      </c>
      <c r="B697" s="588" t="s">
        <v>287</v>
      </c>
      <c r="C697" s="588"/>
      <c r="D697" s="588"/>
      <c r="E697" s="588"/>
      <c r="F697" s="66">
        <f>81480+2160</f>
        <v>83640</v>
      </c>
      <c r="G697" s="66">
        <f>88200+2880</f>
        <v>91080</v>
      </c>
      <c r="H697" s="66">
        <f>48974.43+2027.94+10768.52</f>
        <v>61770.89</v>
      </c>
      <c r="I697" s="32">
        <f>1050*12*7</f>
        <v>88200</v>
      </c>
    </row>
    <row r="698" spans="1:16" s="111" customFormat="1" x14ac:dyDescent="0.25">
      <c r="A698" s="153">
        <v>312</v>
      </c>
      <c r="B698" s="153" t="s">
        <v>130</v>
      </c>
      <c r="C698" s="153"/>
      <c r="D698" s="153"/>
      <c r="E698" s="153"/>
      <c r="F698" s="73">
        <f>F699</f>
        <v>4900</v>
      </c>
      <c r="G698" s="73"/>
      <c r="H698" s="73"/>
      <c r="I698" s="32" t="s">
        <v>607</v>
      </c>
      <c r="J698" s="32"/>
      <c r="K698" s="32">
        <f>700*7</f>
        <v>4900</v>
      </c>
      <c r="L698" s="151"/>
      <c r="M698" s="151"/>
      <c r="N698" s="151"/>
      <c r="O698" s="151"/>
      <c r="P698" s="151"/>
    </row>
    <row r="699" spans="1:16" x14ac:dyDescent="0.25">
      <c r="A699" s="242">
        <v>3121</v>
      </c>
      <c r="B699" s="618" t="s">
        <v>168</v>
      </c>
      <c r="C699" s="618"/>
      <c r="D699" s="618"/>
      <c r="E699" s="618"/>
      <c r="F699" s="66">
        <v>4900</v>
      </c>
      <c r="G699" s="66">
        <v>4900</v>
      </c>
      <c r="H699" s="66"/>
      <c r="K699" s="32" t="s">
        <v>606</v>
      </c>
    </row>
    <row r="700" spans="1:16" x14ac:dyDescent="0.25">
      <c r="A700" s="153">
        <v>313</v>
      </c>
      <c r="B700" s="243" t="s">
        <v>131</v>
      </c>
      <c r="C700" s="243"/>
      <c r="D700" s="243"/>
      <c r="E700" s="243"/>
      <c r="F700" s="73">
        <f>F701</f>
        <v>13445</v>
      </c>
      <c r="G700" s="73"/>
      <c r="H700" s="73"/>
      <c r="K700" s="32" t="s">
        <v>771</v>
      </c>
    </row>
    <row r="701" spans="1:16" x14ac:dyDescent="0.25">
      <c r="A701" s="242">
        <v>3131</v>
      </c>
      <c r="B701" s="588" t="s">
        <v>288</v>
      </c>
      <c r="C701" s="588"/>
      <c r="D701" s="588"/>
      <c r="E701" s="588"/>
      <c r="F701" s="66">
        <v>13445</v>
      </c>
      <c r="G701" s="66">
        <v>14560</v>
      </c>
      <c r="H701" s="66">
        <v>9845.98</v>
      </c>
      <c r="I701" s="32">
        <f>I697*16.5/100</f>
        <v>14553</v>
      </c>
      <c r="K701" s="32">
        <f>240*12</f>
        <v>2880</v>
      </c>
    </row>
    <row r="702" spans="1:16" x14ac:dyDescent="0.25">
      <c r="A702" s="153">
        <v>32</v>
      </c>
      <c r="B702" s="243" t="s">
        <v>132</v>
      </c>
      <c r="C702" s="243"/>
      <c r="D702" s="243"/>
      <c r="E702" s="243"/>
      <c r="F702" s="73">
        <f t="shared" ref="F702:F703" si="38">F703</f>
        <v>4200</v>
      </c>
      <c r="G702" s="73"/>
      <c r="H702" s="73"/>
      <c r="M702" s="32" t="s">
        <v>440</v>
      </c>
    </row>
    <row r="703" spans="1:16" x14ac:dyDescent="0.25">
      <c r="A703" s="153">
        <v>321</v>
      </c>
      <c r="B703" s="608" t="s">
        <v>289</v>
      </c>
      <c r="C703" s="608"/>
      <c r="D703" s="608"/>
      <c r="E703" s="608"/>
      <c r="F703" s="73">
        <f t="shared" si="38"/>
        <v>4200</v>
      </c>
      <c r="G703" s="73"/>
      <c r="H703" s="73"/>
    </row>
    <row r="704" spans="1:16" x14ac:dyDescent="0.25">
      <c r="A704" s="242">
        <v>3214</v>
      </c>
      <c r="B704" s="588" t="s">
        <v>769</v>
      </c>
      <c r="C704" s="588"/>
      <c r="D704" s="588"/>
      <c r="E704" s="588"/>
      <c r="F704" s="66">
        <v>4200</v>
      </c>
      <c r="G704" s="66">
        <v>4200</v>
      </c>
      <c r="H704" s="66">
        <v>3000</v>
      </c>
      <c r="I704" s="32">
        <f>50*12*7</f>
        <v>4200</v>
      </c>
      <c r="J704" s="32" t="s">
        <v>770</v>
      </c>
    </row>
    <row r="705" spans="1:23" x14ac:dyDescent="0.25">
      <c r="A705" s="242"/>
      <c r="B705" s="238"/>
      <c r="C705" s="238"/>
      <c r="D705" s="238"/>
      <c r="E705" s="238"/>
      <c r="F705" s="66"/>
      <c r="G705" s="66"/>
      <c r="H705" s="66"/>
    </row>
    <row r="706" spans="1:23" x14ac:dyDescent="0.25">
      <c r="A706" s="492" t="s">
        <v>382</v>
      </c>
      <c r="B706" s="493"/>
      <c r="C706" s="493"/>
      <c r="D706" s="493"/>
      <c r="E706" s="494"/>
      <c r="F706" s="76">
        <f>F708</f>
        <v>2100</v>
      </c>
      <c r="G706" s="76"/>
      <c r="H706" s="76">
        <f t="shared" ref="H706" si="39">H708</f>
        <v>1750</v>
      </c>
    </row>
    <row r="707" spans="1:23" x14ac:dyDescent="0.25">
      <c r="A707" s="246" t="s">
        <v>408</v>
      </c>
      <c r="B707" s="246"/>
      <c r="C707" s="246"/>
      <c r="D707" s="246"/>
      <c r="E707" s="234"/>
      <c r="F707" s="234"/>
      <c r="G707" s="234"/>
      <c r="H707" s="258"/>
      <c r="I707" s="224"/>
    </row>
    <row r="708" spans="1:23" x14ac:dyDescent="0.25">
      <c r="A708" s="90" t="s">
        <v>741</v>
      </c>
      <c r="B708" s="93"/>
      <c r="C708" s="93"/>
      <c r="D708" s="93"/>
      <c r="E708" s="93"/>
      <c r="F708" s="87">
        <f>F710</f>
        <v>2100</v>
      </c>
      <c r="G708" s="87"/>
      <c r="H708" s="88">
        <f>H713</f>
        <v>1750</v>
      </c>
      <c r="R708" s="111"/>
    </row>
    <row r="709" spans="1:23" x14ac:dyDescent="0.25">
      <c r="A709" s="242"/>
      <c r="B709" s="65"/>
      <c r="C709" s="242"/>
      <c r="D709" s="242"/>
      <c r="E709" s="242"/>
      <c r="F709" s="73"/>
      <c r="G709" s="73"/>
      <c r="H709" s="73"/>
    </row>
    <row r="710" spans="1:23" x14ac:dyDescent="0.25">
      <c r="A710" s="153">
        <v>3</v>
      </c>
      <c r="B710" s="608" t="s">
        <v>18</v>
      </c>
      <c r="C710" s="608"/>
      <c r="D710" s="608"/>
      <c r="E710" s="608"/>
      <c r="F710" s="73">
        <f>F711</f>
        <v>2100</v>
      </c>
      <c r="G710" s="73"/>
      <c r="H710" s="73"/>
      <c r="S710" s="111"/>
      <c r="T710" s="111"/>
    </row>
    <row r="711" spans="1:23" x14ac:dyDescent="0.25">
      <c r="A711" s="153">
        <v>38</v>
      </c>
      <c r="B711" s="153" t="s">
        <v>142</v>
      </c>
      <c r="C711" s="153"/>
      <c r="D711" s="153"/>
      <c r="E711" s="153"/>
      <c r="F711" s="73">
        <f>F712</f>
        <v>2100</v>
      </c>
      <c r="G711" s="73"/>
      <c r="H711" s="73"/>
      <c r="O711" s="151"/>
      <c r="P711" s="151"/>
      <c r="Q711" s="111"/>
    </row>
    <row r="712" spans="1:23" x14ac:dyDescent="0.25">
      <c r="A712" s="153">
        <v>381</v>
      </c>
      <c r="B712" s="153" t="s">
        <v>143</v>
      </c>
      <c r="C712" s="153"/>
      <c r="D712" s="153"/>
      <c r="E712" s="153"/>
      <c r="F712" s="73">
        <f>F713</f>
        <v>2100</v>
      </c>
      <c r="G712" s="73"/>
      <c r="H712" s="73"/>
    </row>
    <row r="713" spans="1:23" x14ac:dyDescent="0.25">
      <c r="A713" s="242">
        <v>3811</v>
      </c>
      <c r="B713" s="65" t="s">
        <v>290</v>
      </c>
      <c r="C713" s="242"/>
      <c r="D713" s="242"/>
      <c r="E713" s="242"/>
      <c r="F713" s="66">
        <v>2100</v>
      </c>
      <c r="G713" s="66">
        <v>2400</v>
      </c>
      <c r="H713" s="66">
        <v>1750</v>
      </c>
      <c r="I713" s="32">
        <v>2371.81</v>
      </c>
      <c r="J713" s="32" t="s">
        <v>768</v>
      </c>
      <c r="U713" s="111"/>
      <c r="V713" s="111"/>
      <c r="W713" s="111"/>
    </row>
    <row r="714" spans="1:23" x14ac:dyDescent="0.25">
      <c r="A714" s="242">
        <v>3811</v>
      </c>
      <c r="B714" s="65" t="s">
        <v>291</v>
      </c>
      <c r="C714" s="242"/>
      <c r="D714" s="242"/>
      <c r="E714" s="242"/>
      <c r="F714" s="66">
        <v>0</v>
      </c>
      <c r="G714" s="66"/>
      <c r="H714" s="66"/>
    </row>
    <row r="715" spans="1:23" x14ac:dyDescent="0.25">
      <c r="A715" s="65"/>
      <c r="B715" s="65"/>
      <c r="C715" s="65"/>
      <c r="D715" s="65"/>
      <c r="E715" s="65"/>
      <c r="F715" s="66"/>
      <c r="G715" s="66"/>
      <c r="H715" s="66"/>
    </row>
    <row r="716" spans="1:23" s="111" customFormat="1" x14ac:dyDescent="0.25">
      <c r="A716" s="492" t="s">
        <v>383</v>
      </c>
      <c r="B716" s="493"/>
      <c r="C716" s="493"/>
      <c r="D716" s="493"/>
      <c r="E716" s="494"/>
      <c r="F716" s="76">
        <f>F718</f>
        <v>11000</v>
      </c>
      <c r="G716" s="76"/>
      <c r="H716" s="76">
        <f t="shared" ref="H716" si="40">H718</f>
        <v>3000</v>
      </c>
      <c r="I716" s="151"/>
      <c r="J716" s="151"/>
      <c r="K716" s="151"/>
      <c r="L716" s="151"/>
      <c r="M716" s="151"/>
      <c r="N716" s="151"/>
      <c r="O716" s="32"/>
      <c r="P716" s="32"/>
      <c r="Q716"/>
      <c r="R716"/>
      <c r="S716"/>
      <c r="T716"/>
      <c r="U716"/>
      <c r="V716"/>
      <c r="W716"/>
    </row>
    <row r="717" spans="1:23" x14ac:dyDescent="0.25">
      <c r="A717" s="246" t="s">
        <v>409</v>
      </c>
      <c r="B717" s="246"/>
      <c r="C717" s="246"/>
      <c r="D717" s="246"/>
      <c r="E717" s="234"/>
      <c r="F717" s="234"/>
      <c r="G717" s="234"/>
      <c r="H717" s="258"/>
      <c r="I717" s="224"/>
    </row>
    <row r="718" spans="1:23" x14ac:dyDescent="0.25">
      <c r="A718" s="617" t="s">
        <v>89</v>
      </c>
      <c r="B718" s="617"/>
      <c r="C718" s="617"/>
      <c r="D718" s="617"/>
      <c r="E718" s="617"/>
      <c r="F718" s="88">
        <f>F720</f>
        <v>11000</v>
      </c>
      <c r="G718" s="88"/>
      <c r="H718" s="88">
        <f>H723</f>
        <v>3000</v>
      </c>
    </row>
    <row r="719" spans="1:23" x14ac:dyDescent="0.25">
      <c r="A719" s="242"/>
      <c r="B719" s="65"/>
      <c r="C719" s="242"/>
      <c r="D719" s="242"/>
      <c r="E719" s="242"/>
      <c r="F719" s="73"/>
      <c r="G719" s="73"/>
      <c r="H719" s="73"/>
    </row>
    <row r="720" spans="1:23" x14ac:dyDescent="0.25">
      <c r="A720" s="153">
        <v>3</v>
      </c>
      <c r="B720" s="608" t="s">
        <v>18</v>
      </c>
      <c r="C720" s="608"/>
      <c r="D720" s="608"/>
      <c r="E720" s="608"/>
      <c r="F720" s="73">
        <f>F721</f>
        <v>11000</v>
      </c>
      <c r="G720" s="73"/>
      <c r="H720" s="73"/>
    </row>
    <row r="721" spans="1:10" x14ac:dyDescent="0.25">
      <c r="A721" s="153">
        <v>38</v>
      </c>
      <c r="B721" s="153" t="s">
        <v>142</v>
      </c>
      <c r="C721" s="153"/>
      <c r="D721" s="153"/>
      <c r="E721" s="153"/>
      <c r="F721" s="73">
        <f>F722</f>
        <v>11000</v>
      </c>
      <c r="G721" s="73"/>
      <c r="H721" s="73"/>
    </row>
    <row r="722" spans="1:10" x14ac:dyDescent="0.25">
      <c r="A722" s="153">
        <v>381</v>
      </c>
      <c r="B722" s="153" t="s">
        <v>143</v>
      </c>
      <c r="C722" s="153"/>
      <c r="D722" s="153"/>
      <c r="E722" s="153"/>
      <c r="F722" s="73">
        <f>F723</f>
        <v>11000</v>
      </c>
      <c r="G722" s="73"/>
      <c r="H722" s="73"/>
    </row>
    <row r="723" spans="1:10" x14ac:dyDescent="0.25">
      <c r="A723" s="65">
        <v>3811</v>
      </c>
      <c r="B723" s="65" t="s">
        <v>292</v>
      </c>
      <c r="C723" s="65"/>
      <c r="D723" s="65"/>
      <c r="E723" s="65"/>
      <c r="F723" s="66">
        <v>11000</v>
      </c>
      <c r="G723" s="66">
        <v>11000</v>
      </c>
      <c r="H723" s="66">
        <v>3000</v>
      </c>
      <c r="I723" s="32" t="s">
        <v>622</v>
      </c>
    </row>
    <row r="724" spans="1:10" x14ac:dyDescent="0.25">
      <c r="A724" s="65">
        <v>3811</v>
      </c>
      <c r="B724" s="65" t="s">
        <v>316</v>
      </c>
      <c r="C724" s="65"/>
      <c r="D724" s="65"/>
      <c r="E724" s="65"/>
      <c r="F724" s="66"/>
      <c r="G724" s="66"/>
      <c r="H724" s="66"/>
    </row>
    <row r="725" spans="1:10" x14ac:dyDescent="0.25">
      <c r="A725" s="65"/>
      <c r="B725" s="65"/>
      <c r="C725" s="65"/>
      <c r="D725" s="65"/>
      <c r="E725" s="65"/>
      <c r="F725" s="231"/>
      <c r="G725" s="231"/>
      <c r="H725" s="231"/>
    </row>
    <row r="726" spans="1:10" x14ac:dyDescent="0.25">
      <c r="A726" s="83" t="s">
        <v>293</v>
      </c>
      <c r="B726" s="83"/>
      <c r="C726" s="83"/>
      <c r="D726" s="83"/>
      <c r="E726" s="83"/>
      <c r="F726" s="84">
        <f>F727</f>
        <v>12000</v>
      </c>
      <c r="G726" s="84"/>
      <c r="H726" s="84">
        <f t="shared" ref="H726" si="41">H727</f>
        <v>11100</v>
      </c>
    </row>
    <row r="727" spans="1:10" x14ac:dyDescent="0.25">
      <c r="A727" s="289" t="s">
        <v>384</v>
      </c>
      <c r="B727" s="289"/>
      <c r="C727" s="289"/>
      <c r="D727" s="289"/>
      <c r="E727" s="75"/>
      <c r="F727" s="76">
        <f>F729</f>
        <v>12000</v>
      </c>
      <c r="G727" s="76"/>
      <c r="H727" s="76">
        <f t="shared" ref="H727" si="42">H729</f>
        <v>11100</v>
      </c>
    </row>
    <row r="728" spans="1:10" x14ac:dyDescent="0.25">
      <c r="A728" s="246" t="s">
        <v>410</v>
      </c>
      <c r="B728" s="246"/>
      <c r="C728" s="246"/>
      <c r="D728" s="246"/>
      <c r="E728" s="234"/>
      <c r="F728" s="234"/>
      <c r="G728" s="234"/>
      <c r="H728" s="258"/>
      <c r="I728" s="224"/>
    </row>
    <row r="729" spans="1:10" x14ac:dyDescent="0.25">
      <c r="A729" s="90" t="s">
        <v>351</v>
      </c>
      <c r="B729" s="93"/>
      <c r="C729" s="93"/>
      <c r="D729" s="93"/>
      <c r="E729" s="93"/>
      <c r="F729" s="87">
        <f>F731</f>
        <v>12000</v>
      </c>
      <c r="G729" s="87"/>
      <c r="H729" s="88">
        <f>H734</f>
        <v>11100</v>
      </c>
    </row>
    <row r="730" spans="1:10" x14ac:dyDescent="0.25">
      <c r="A730" s="242"/>
      <c r="B730" s="242"/>
      <c r="C730" s="242"/>
      <c r="D730" s="242"/>
      <c r="E730" s="242"/>
      <c r="F730" s="73"/>
      <c r="G730" s="73"/>
      <c r="H730" s="73"/>
    </row>
    <row r="731" spans="1:10" x14ac:dyDescent="0.25">
      <c r="A731" s="153">
        <v>3</v>
      </c>
      <c r="B731" s="608" t="s">
        <v>18</v>
      </c>
      <c r="C731" s="608"/>
      <c r="D731" s="608"/>
      <c r="E731" s="608"/>
      <c r="F731" s="73">
        <f>F732</f>
        <v>12000</v>
      </c>
      <c r="G731" s="73"/>
      <c r="H731" s="73"/>
    </row>
    <row r="732" spans="1:10" x14ac:dyDescent="0.25">
      <c r="A732" s="153">
        <v>38</v>
      </c>
      <c r="B732" s="153" t="s">
        <v>142</v>
      </c>
      <c r="C732" s="153"/>
      <c r="D732" s="153"/>
      <c r="E732" s="153"/>
      <c r="F732" s="73">
        <f>F733</f>
        <v>12000</v>
      </c>
      <c r="G732" s="73"/>
      <c r="H732" s="73"/>
    </row>
    <row r="733" spans="1:10" x14ac:dyDescent="0.25">
      <c r="A733" s="153">
        <v>381</v>
      </c>
      <c r="B733" s="153" t="s">
        <v>143</v>
      </c>
      <c r="C733" s="153"/>
      <c r="D733" s="153"/>
      <c r="E733" s="153"/>
      <c r="F733" s="73">
        <f>F734</f>
        <v>12000</v>
      </c>
      <c r="G733" s="73"/>
      <c r="H733" s="73"/>
    </row>
    <row r="734" spans="1:10" x14ac:dyDescent="0.25">
      <c r="A734" s="65">
        <v>3811</v>
      </c>
      <c r="B734" s="65" t="s">
        <v>294</v>
      </c>
      <c r="C734" s="65"/>
      <c r="D734" s="65"/>
      <c r="E734" s="65"/>
      <c r="F734" s="66">
        <v>12000</v>
      </c>
      <c r="G734" s="66">
        <v>13000</v>
      </c>
      <c r="H734" s="66">
        <v>11100</v>
      </c>
      <c r="I734" s="32" t="s">
        <v>765</v>
      </c>
    </row>
    <row r="735" spans="1:10" x14ac:dyDescent="0.25">
      <c r="A735" s="60"/>
      <c r="B735" s="60"/>
      <c r="C735" s="60"/>
      <c r="D735" s="60"/>
      <c r="E735" s="60"/>
      <c r="F735" s="71"/>
      <c r="G735" s="71"/>
      <c r="H735" s="71"/>
      <c r="J735" s="60" t="s">
        <v>349</v>
      </c>
    </row>
    <row r="736" spans="1:10" x14ac:dyDescent="0.25">
      <c r="I736" s="32">
        <v>1000</v>
      </c>
      <c r="J736" t="s">
        <v>350</v>
      </c>
    </row>
    <row r="737" spans="6:10" x14ac:dyDescent="0.25">
      <c r="J737" t="s">
        <v>352</v>
      </c>
    </row>
    <row r="738" spans="6:10" x14ac:dyDescent="0.25">
      <c r="I738" s="32">
        <v>1100</v>
      </c>
      <c r="J738" t="s">
        <v>275</v>
      </c>
    </row>
    <row r="739" spans="6:10" x14ac:dyDescent="0.25">
      <c r="F739" s="71"/>
      <c r="G739" s="71"/>
      <c r="H739" s="71"/>
      <c r="I739" s="32">
        <v>700</v>
      </c>
      <c r="J739" t="s">
        <v>353</v>
      </c>
    </row>
    <row r="740" spans="6:10" x14ac:dyDescent="0.25">
      <c r="F740" s="71"/>
      <c r="G740" s="71"/>
      <c r="H740" s="71"/>
      <c r="J740" t="s">
        <v>354</v>
      </c>
    </row>
    <row r="741" spans="6:10" x14ac:dyDescent="0.25">
      <c r="I741" s="32">
        <v>2400</v>
      </c>
      <c r="J741" t="s">
        <v>355</v>
      </c>
    </row>
    <row r="742" spans="6:10" x14ac:dyDescent="0.25">
      <c r="I742" s="32">
        <v>2400</v>
      </c>
      <c r="J742" t="s">
        <v>356</v>
      </c>
    </row>
    <row r="743" spans="6:10" x14ac:dyDescent="0.25">
      <c r="I743" s="32">
        <v>700</v>
      </c>
      <c r="J743" t="s">
        <v>357</v>
      </c>
    </row>
    <row r="744" spans="6:10" x14ac:dyDescent="0.25">
      <c r="F744" s="100"/>
      <c r="G744" s="100"/>
      <c r="H744" s="100"/>
      <c r="J744" t="s">
        <v>358</v>
      </c>
    </row>
    <row r="745" spans="6:10" x14ac:dyDescent="0.25">
      <c r="F745" s="100"/>
      <c r="G745" s="100"/>
      <c r="H745" s="100"/>
      <c r="I745" s="32">
        <v>1200</v>
      </c>
      <c r="J745" t="s">
        <v>620</v>
      </c>
    </row>
    <row r="746" spans="6:10" x14ac:dyDescent="0.25">
      <c r="F746" s="100"/>
      <c r="G746" s="100"/>
      <c r="H746" s="100"/>
      <c r="I746" s="32">
        <v>300</v>
      </c>
      <c r="J746" s="32" t="s">
        <v>621</v>
      </c>
    </row>
    <row r="747" spans="6:10" x14ac:dyDescent="0.25">
      <c r="F747" s="100"/>
      <c r="G747" s="100"/>
      <c r="H747" s="100"/>
      <c r="I747" s="32">
        <v>500</v>
      </c>
      <c r="J747" s="32" t="s">
        <v>766</v>
      </c>
    </row>
    <row r="748" spans="6:10" x14ac:dyDescent="0.25">
      <c r="F748" s="100"/>
      <c r="G748" s="100"/>
      <c r="H748" s="100"/>
      <c r="I748" s="32">
        <v>800</v>
      </c>
      <c r="J748" s="32" t="s">
        <v>767</v>
      </c>
    </row>
    <row r="749" spans="6:10" x14ac:dyDescent="0.25">
      <c r="F749" s="100"/>
      <c r="G749" s="100"/>
      <c r="H749" s="100"/>
    </row>
    <row r="750" spans="6:10" x14ac:dyDescent="0.25">
      <c r="F750" s="100"/>
      <c r="G750" s="100"/>
      <c r="H750" s="100"/>
    </row>
    <row r="751" spans="6:10" x14ac:dyDescent="0.25">
      <c r="F751" s="100"/>
      <c r="G751" s="100"/>
      <c r="H751" s="100"/>
    </row>
  </sheetData>
  <mergeCells count="146">
    <mergeCell ref="A8:E8"/>
    <mergeCell ref="B23:E23"/>
    <mergeCell ref="A26:E26"/>
    <mergeCell ref="A27:E27"/>
    <mergeCell ref="A68:E68"/>
    <mergeCell ref="B111:E111"/>
    <mergeCell ref="B120:E120"/>
    <mergeCell ref="B122:E122"/>
    <mergeCell ref="A39:E39"/>
    <mergeCell ref="B135:E135"/>
    <mergeCell ref="A137:E137"/>
    <mergeCell ref="B141:E141"/>
    <mergeCell ref="A145:E145"/>
    <mergeCell ref="A146:E146"/>
    <mergeCell ref="B149:E149"/>
    <mergeCell ref="A170:E170"/>
    <mergeCell ref="B123:E123"/>
    <mergeCell ref="A69:E69"/>
    <mergeCell ref="A71:E71"/>
    <mergeCell ref="B78:E78"/>
    <mergeCell ref="B89:E89"/>
    <mergeCell ref="A153:E153"/>
    <mergeCell ref="B157:E157"/>
    <mergeCell ref="B166:E166"/>
    <mergeCell ref="A385:E385"/>
    <mergeCell ref="B401:E401"/>
    <mergeCell ref="B402:E402"/>
    <mergeCell ref="A409:E409"/>
    <mergeCell ref="B345:E345"/>
    <mergeCell ref="B347:E347"/>
    <mergeCell ref="B353:E353"/>
    <mergeCell ref="B355:E355"/>
    <mergeCell ref="B307:E307"/>
    <mergeCell ref="B309:E309"/>
    <mergeCell ref="B329:E329"/>
    <mergeCell ref="B331:E331"/>
    <mergeCell ref="B337:E337"/>
    <mergeCell ref="B339:E339"/>
    <mergeCell ref="A311:E311"/>
    <mergeCell ref="B314:E314"/>
    <mergeCell ref="B316:E316"/>
    <mergeCell ref="A318:E318"/>
    <mergeCell ref="B321:E321"/>
    <mergeCell ref="B323:E323"/>
    <mergeCell ref="A357:E357"/>
    <mergeCell ref="B360:E360"/>
    <mergeCell ref="A363:E363"/>
    <mergeCell ref="B366:E366"/>
    <mergeCell ref="A451:E451"/>
    <mergeCell ref="B454:E454"/>
    <mergeCell ref="B455:E455"/>
    <mergeCell ref="A459:E459"/>
    <mergeCell ref="A420:E420"/>
    <mergeCell ref="B427:E427"/>
    <mergeCell ref="B441:E441"/>
    <mergeCell ref="B444:E444"/>
    <mergeCell ref="B445:E445"/>
    <mergeCell ref="A450:E450"/>
    <mergeCell ref="A482:E482"/>
    <mergeCell ref="A483:E483"/>
    <mergeCell ref="B487:E487"/>
    <mergeCell ref="A489:E489"/>
    <mergeCell ref="B466:E466"/>
    <mergeCell ref="A480:E480"/>
    <mergeCell ref="I480:I481"/>
    <mergeCell ref="J480:J481"/>
    <mergeCell ref="A481:E481"/>
    <mergeCell ref="A510:E510"/>
    <mergeCell ref="A520:E520"/>
    <mergeCell ref="B535:E535"/>
    <mergeCell ref="I489:I490"/>
    <mergeCell ref="J489:J490"/>
    <mergeCell ref="A490:E490"/>
    <mergeCell ref="A491:E491"/>
    <mergeCell ref="A492:E492"/>
    <mergeCell ref="B496:E496"/>
    <mergeCell ref="B731:E731"/>
    <mergeCell ref="A50:E50"/>
    <mergeCell ref="A51:E51"/>
    <mergeCell ref="B701:E701"/>
    <mergeCell ref="B703:E703"/>
    <mergeCell ref="B704:E704"/>
    <mergeCell ref="B710:E710"/>
    <mergeCell ref="A718:E718"/>
    <mergeCell ref="B720:E720"/>
    <mergeCell ref="B671:E671"/>
    <mergeCell ref="A692:E692"/>
    <mergeCell ref="B694:E694"/>
    <mergeCell ref="B695:E695"/>
    <mergeCell ref="B697:E697"/>
    <mergeCell ref="B699:E699"/>
    <mergeCell ref="A611:E611"/>
    <mergeCell ref="A614:E614"/>
    <mergeCell ref="A625:E625"/>
    <mergeCell ref="A636:E636"/>
    <mergeCell ref="A645:E645"/>
    <mergeCell ref="B556:E556"/>
    <mergeCell ref="B567:E567"/>
    <mergeCell ref="A570:E570"/>
    <mergeCell ref="A595:E595"/>
    <mergeCell ref="A283:E283"/>
    <mergeCell ref="A295:E295"/>
    <mergeCell ref="B298:E298"/>
    <mergeCell ref="A303:E303"/>
    <mergeCell ref="A304:E304"/>
    <mergeCell ref="A262:E262"/>
    <mergeCell ref="B265:E265"/>
    <mergeCell ref="A270:E270"/>
    <mergeCell ref="A273:E273"/>
    <mergeCell ref="B276:E276"/>
    <mergeCell ref="B280:E280"/>
    <mergeCell ref="B300:E300"/>
    <mergeCell ref="B226:E226"/>
    <mergeCell ref="B240:E240"/>
    <mergeCell ref="B255:E255"/>
    <mergeCell ref="A181:E181"/>
    <mergeCell ref="A197:E197"/>
    <mergeCell ref="A217:E217"/>
    <mergeCell ref="A172:E172"/>
    <mergeCell ref="B175:E175"/>
    <mergeCell ref="B176:E176"/>
    <mergeCell ref="B177:E177"/>
    <mergeCell ref="A706:E706"/>
    <mergeCell ref="A716:E716"/>
    <mergeCell ref="A448:E448"/>
    <mergeCell ref="A498:E498"/>
    <mergeCell ref="A593:E593"/>
    <mergeCell ref="A623:D623"/>
    <mergeCell ref="A652:E652"/>
    <mergeCell ref="A179:E179"/>
    <mergeCell ref="A218:E218"/>
    <mergeCell ref="A292:E292"/>
    <mergeCell ref="A381:E381"/>
    <mergeCell ref="A369:E369"/>
    <mergeCell ref="B372:E372"/>
    <mergeCell ref="A375:E375"/>
    <mergeCell ref="B607:E607"/>
    <mergeCell ref="B540:E540"/>
    <mergeCell ref="B541:D541"/>
    <mergeCell ref="B542:E542"/>
    <mergeCell ref="B549:E549"/>
    <mergeCell ref="B550:E550"/>
    <mergeCell ref="B554:E554"/>
    <mergeCell ref="A500:E500"/>
    <mergeCell ref="B508:E508"/>
    <mergeCell ref="A221:E221"/>
  </mergeCells>
  <pageMargins left="0.70866141732283472" right="0.70866141732283472" top="0.15748031496062992" bottom="0.15748031496062992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Prenesena sredstva</vt:lpstr>
      <vt:lpstr>POSEBNI DIO</vt:lpstr>
      <vt:lpstr>Plan prihoda RADNI</vt:lpstr>
      <vt:lpstr>plan rashoda RADNI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 ferdinandovac</cp:lastModifiedBy>
  <cp:lastPrinted>2025-11-13T08:34:47Z</cp:lastPrinted>
  <dcterms:created xsi:type="dcterms:W3CDTF">2022-08-12T12:51:27Z</dcterms:created>
  <dcterms:modified xsi:type="dcterms:W3CDTF">2025-11-21T08:48:49Z</dcterms:modified>
</cp:coreProperties>
</file>