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2" activeTab="2"/>
  </bookViews>
  <sheets>
    <sheet name="Skriveni" sheetId="37" state="hidden" r:id="rId1"/>
    <sheet name="Upute" sheetId="19" state="hidden" r:id="rId2"/>
    <sheet name="RefStr" sheetId="42" r:id="rId3"/>
    <sheet name="PRRAS" sheetId="1" r:id="rId4"/>
    <sheet name="Bil" sheetId="27" state="hidden" r:id="rId5"/>
    <sheet name="RasF" sheetId="36" state="hidden" r:id="rId6"/>
    <sheet name="PVRIO" sheetId="33" state="hidden" r:id="rId7"/>
    <sheet name="Obv" sheetId="47" r:id="rId8"/>
    <sheet name="Kont" sheetId="3" state="hidden" r:id="rId9"/>
    <sheet name="Sifre" sheetId="48" state="hidden" r:id="rId10"/>
    <sheet name="Prom" sheetId="46" state="hidden"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Upute!$B$2:$B$25</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Upute!$25:$65536</definedName>
  </definedNames>
  <calcPr calcId="152511" fullCalcOnLoad="1"/>
</workbook>
</file>

<file path=xl/calcChain.xml><?xml version="1.0" encoding="utf-8"?>
<calcChain xmlns="http://schemas.openxmlformats.org/spreadsheetml/2006/main">
  <c r="E176" i="1" l="1"/>
  <c r="E179" i="1"/>
  <c r="E834" i="1"/>
  <c r="E822" i="1"/>
  <c r="E770" i="1"/>
  <c r="E705" i="1"/>
  <c r="E668" i="1"/>
  <c r="E667" i="1"/>
  <c r="E378" i="1"/>
  <c r="E271" i="1"/>
  <c r="I3"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G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H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G86" i="37"/>
  <c r="C88" i="37"/>
  <c r="D88" i="37"/>
  <c r="C89" i="37"/>
  <c r="D89" i="37"/>
  <c r="H89" i="37"/>
  <c r="C90" i="37"/>
  <c r="D90" i="37"/>
  <c r="C91" i="37"/>
  <c r="D91" i="37"/>
  <c r="C92" i="37"/>
  <c r="D92" i="37"/>
  <c r="C93" i="37"/>
  <c r="D93" i="37"/>
  <c r="G93" i="37"/>
  <c r="C95" i="37"/>
  <c r="D95" i="37"/>
  <c r="C96" i="37"/>
  <c r="D96" i="37"/>
  <c r="C97" i="37"/>
  <c r="D97" i="37"/>
  <c r="C98" i="37"/>
  <c r="D98" i="37"/>
  <c r="C99" i="37"/>
  <c r="D99" i="37"/>
  <c r="C100" i="37"/>
  <c r="D100" i="37"/>
  <c r="C101" i="37"/>
  <c r="D101" i="37"/>
  <c r="C104" i="37"/>
  <c r="D104" i="37"/>
  <c r="G104" i="37"/>
  <c r="C105" i="37"/>
  <c r="D105" i="37"/>
  <c r="C106" i="37"/>
  <c r="D106" i="37"/>
  <c r="H106" i="37"/>
  <c r="C107" i="37"/>
  <c r="D107" i="37"/>
  <c r="C109" i="37"/>
  <c r="D109" i="37"/>
  <c r="C110" i="37"/>
  <c r="D110" i="37"/>
  <c r="C111" i="37"/>
  <c r="D111" i="37"/>
  <c r="H111" i="37"/>
  <c r="C112" i="37"/>
  <c r="D112" i="37"/>
  <c r="C113" i="37"/>
  <c r="D113" i="37"/>
  <c r="H113" i="37"/>
  <c r="C114" i="37"/>
  <c r="D114" i="37"/>
  <c r="C115" i="37"/>
  <c r="D115" i="37"/>
  <c r="C117" i="37"/>
  <c r="D117" i="37"/>
  <c r="C118" i="37"/>
  <c r="D118" i="37"/>
  <c r="H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G150" i="37"/>
  <c r="C151" i="37"/>
  <c r="D151" i="37"/>
  <c r="C152" i="37"/>
  <c r="D152" i="37"/>
  <c r="C153" i="37"/>
  <c r="D153" i="37"/>
  <c r="C154" i="37"/>
  <c r="D154" i="37"/>
  <c r="G154" i="37"/>
  <c r="C156" i="37"/>
  <c r="D156" i="37"/>
  <c r="C157" i="37"/>
  <c r="D157" i="37"/>
  <c r="H157" i="37"/>
  <c r="C158" i="37"/>
  <c r="D158" i="37"/>
  <c r="C161" i="37"/>
  <c r="D161" i="37"/>
  <c r="G161" i="37"/>
  <c r="C162" i="37"/>
  <c r="D162" i="37"/>
  <c r="C163" i="37"/>
  <c r="D163" i="37"/>
  <c r="H163" i="37"/>
  <c r="C164" i="37"/>
  <c r="D164" i="37"/>
  <c r="C166" i="37"/>
  <c r="D166" i="37"/>
  <c r="H166" i="37"/>
  <c r="C167" i="37"/>
  <c r="D167" i="37"/>
  <c r="C168" i="37"/>
  <c r="D168" i="37"/>
  <c r="H168" i="37"/>
  <c r="C169" i="37"/>
  <c r="D169" i="37"/>
  <c r="G169" i="37"/>
  <c r="C170" i="37"/>
  <c r="D170" i="37"/>
  <c r="G170" i="37"/>
  <c r="C171" i="37"/>
  <c r="D171" i="37"/>
  <c r="C172" i="37"/>
  <c r="D172" i="37"/>
  <c r="H172" i="37"/>
  <c r="C174" i="37"/>
  <c r="D174" i="37"/>
  <c r="C175" i="37"/>
  <c r="D175" i="37"/>
  <c r="H175" i="37"/>
  <c r="C176" i="37"/>
  <c r="D176" i="37"/>
  <c r="C177" i="37"/>
  <c r="D177" i="37"/>
  <c r="G177" i="37"/>
  <c r="C178" i="37"/>
  <c r="D178" i="37"/>
  <c r="C179" i="37"/>
  <c r="D179" i="37"/>
  <c r="H179" i="37"/>
  <c r="C180" i="37"/>
  <c r="D180" i="37"/>
  <c r="C181" i="37"/>
  <c r="D181" i="37"/>
  <c r="H181" i="37"/>
  <c r="C182" i="37"/>
  <c r="D182" i="37"/>
  <c r="C183" i="37"/>
  <c r="D183" i="37"/>
  <c r="C185" i="37"/>
  <c r="D185" i="37"/>
  <c r="C186" i="37"/>
  <c r="D186" i="37"/>
  <c r="H186" i="37"/>
  <c r="C187" i="37"/>
  <c r="D187" i="37"/>
  <c r="C188" i="37"/>
  <c r="D188" i="37"/>
  <c r="H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G229" i="37"/>
  <c r="C230" i="37"/>
  <c r="D230" i="37"/>
  <c r="C231" i="37"/>
  <c r="D231" i="37"/>
  <c r="C233" i="37"/>
  <c r="D233" i="37"/>
  <c r="C234" i="37"/>
  <c r="D234" i="37"/>
  <c r="C235" i="37"/>
  <c r="D235" i="37"/>
  <c r="C237" i="37"/>
  <c r="D237" i="37"/>
  <c r="H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H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L301"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H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O3" i="3"/>
  <c r="H277" i="3"/>
  <c r="Q3" i="3"/>
  <c r="H7" i="3"/>
  <c r="P3" i="3"/>
  <c r="H5" i="3"/>
  <c r="G176" i="3"/>
  <c r="H170" i="3"/>
  <c r="H184" i="3"/>
  <c r="G173" i="3"/>
  <c r="H278" i="3"/>
  <c r="G278" i="3"/>
  <c r="E278" i="3"/>
  <c r="F278"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6" i="3"/>
  <c r="A277" i="3"/>
  <c r="A278" i="3"/>
  <c r="A279" i="3"/>
  <c r="A280" i="3"/>
  <c r="A281" i="3"/>
  <c r="A282" i="3"/>
  <c r="A283" i="3"/>
  <c r="A284" i="3"/>
  <c r="A285" i="3"/>
  <c r="A286" i="3"/>
  <c r="A287" i="3"/>
  <c r="A288" i="3"/>
  <c r="A289" i="3"/>
  <c r="B278" i="3"/>
  <c r="G279" i="3"/>
  <c r="H279" i="3"/>
  <c r="E279" i="3"/>
  <c r="B279" i="3"/>
  <c r="F279" i="3"/>
  <c r="F287" i="3"/>
  <c r="G186" i="3"/>
  <c r="E186" i="3"/>
  <c r="B186" i="3"/>
  <c r="G169" i="3"/>
  <c r="E169" i="3"/>
  <c r="B169" i="3"/>
  <c r="N2" i="42"/>
  <c r="N3" i="42" s="1"/>
  <c r="G30" i="3"/>
  <c r="H30" i="3"/>
  <c r="E30" i="3"/>
  <c r="E23" i="3" s="1"/>
  <c r="G25" i="3"/>
  <c r="E25" i="3"/>
  <c r="H25" i="3"/>
  <c r="G26" i="3"/>
  <c r="H26" i="3"/>
  <c r="E26" i="3"/>
  <c r="G27" i="3"/>
  <c r="H27" i="3"/>
  <c r="E27" i="3"/>
  <c r="B27" i="3"/>
  <c r="G28" i="3"/>
  <c r="H28" i="3"/>
  <c r="G29" i="3"/>
  <c r="H29" i="3"/>
  <c r="E29" i="3"/>
  <c r="B29" i="3"/>
  <c r="G31" i="3"/>
  <c r="H31" i="3"/>
  <c r="E31" i="3"/>
  <c r="B31" i="3"/>
  <c r="G32" i="3"/>
  <c r="E32" i="3"/>
  <c r="H32" i="3"/>
  <c r="G33" i="3"/>
  <c r="E33" i="3"/>
  <c r="H33" i="3"/>
  <c r="G34" i="3"/>
  <c r="H34" i="3"/>
  <c r="E34" i="3"/>
  <c r="B34" i="3"/>
  <c r="G35" i="3"/>
  <c r="H35" i="3"/>
  <c r="E35" i="3"/>
  <c r="G36" i="3"/>
  <c r="E36" i="3"/>
  <c r="H36" i="3"/>
  <c r="G37" i="3"/>
  <c r="H37" i="3"/>
  <c r="G38" i="3"/>
  <c r="H38" i="3"/>
  <c r="E38" i="3"/>
  <c r="B38" i="3"/>
  <c r="G39" i="3"/>
  <c r="H39" i="3"/>
  <c r="E39" i="3"/>
  <c r="B39" i="3"/>
  <c r="G40" i="3"/>
  <c r="H40" i="3"/>
  <c r="E40" i="3"/>
  <c r="G41" i="3"/>
  <c r="H41" i="3"/>
  <c r="E41" i="3"/>
  <c r="B41" i="3"/>
  <c r="G42" i="3"/>
  <c r="E42" i="3"/>
  <c r="H42" i="3"/>
  <c r="G43" i="3"/>
  <c r="H43" i="3"/>
  <c r="E43" i="3"/>
  <c r="B43" i="3"/>
  <c r="G44" i="3"/>
  <c r="H44" i="3"/>
  <c r="E44" i="3"/>
  <c r="B44" i="3"/>
  <c r="G45" i="3"/>
  <c r="H45" i="3"/>
  <c r="E45" i="3"/>
  <c r="B45" i="3"/>
  <c r="G46" i="3"/>
  <c r="H46" i="3"/>
  <c r="E46" i="3"/>
  <c r="B46" i="3"/>
  <c r="G47" i="3"/>
  <c r="H47" i="3"/>
  <c r="E47" i="3"/>
  <c r="B47" i="3"/>
  <c r="G48" i="3"/>
  <c r="E48" i="3"/>
  <c r="H48" i="3"/>
  <c r="G49" i="3"/>
  <c r="H49" i="3"/>
  <c r="E49" i="3"/>
  <c r="B49" i="3"/>
  <c r="G50" i="3"/>
  <c r="H50" i="3"/>
  <c r="E50" i="3"/>
  <c r="B50" i="3"/>
  <c r="G51" i="3"/>
  <c r="H51" i="3"/>
  <c r="E51" i="3"/>
  <c r="G52" i="3"/>
  <c r="E52" i="3"/>
  <c r="H52" i="3"/>
  <c r="G53" i="3"/>
  <c r="H53" i="3"/>
  <c r="G54" i="3"/>
  <c r="E54" i="3"/>
  <c r="H54" i="3"/>
  <c r="G55" i="3"/>
  <c r="H55" i="3"/>
  <c r="E55" i="3"/>
  <c r="G56" i="3"/>
  <c r="H56" i="3"/>
  <c r="E56" i="3"/>
  <c r="G57" i="3"/>
  <c r="E57" i="3"/>
  <c r="H57" i="3"/>
  <c r="G58" i="3"/>
  <c r="E58" i="3"/>
  <c r="H58" i="3"/>
  <c r="G59" i="3"/>
  <c r="H59" i="3"/>
  <c r="E59" i="3"/>
  <c r="G60" i="3"/>
  <c r="H60" i="3"/>
  <c r="E60" i="3"/>
  <c r="G61" i="3"/>
  <c r="H61" i="3"/>
  <c r="E61" i="3"/>
  <c r="B61" i="3"/>
  <c r="G62" i="3"/>
  <c r="H62" i="3"/>
  <c r="E62" i="3"/>
  <c r="B62" i="3"/>
  <c r="G63" i="3"/>
  <c r="H63" i="3"/>
  <c r="E63" i="3"/>
  <c r="B63" i="3"/>
  <c r="G64" i="3"/>
  <c r="E64" i="3"/>
  <c r="B64" i="3"/>
  <c r="H64" i="3"/>
  <c r="G65" i="3"/>
  <c r="E65" i="3"/>
  <c r="H65" i="3"/>
  <c r="G66" i="3"/>
  <c r="H66" i="3"/>
  <c r="E66" i="3"/>
  <c r="G67" i="3"/>
  <c r="H67" i="3"/>
  <c r="E67" i="3"/>
  <c r="B67" i="3"/>
  <c r="G68" i="3"/>
  <c r="E68" i="3"/>
  <c r="H68" i="3"/>
  <c r="G69" i="3"/>
  <c r="H69" i="3"/>
  <c r="G70" i="3"/>
  <c r="E70" i="3"/>
  <c r="H70" i="3"/>
  <c r="G71" i="3"/>
  <c r="H71" i="3"/>
  <c r="E71" i="3"/>
  <c r="B71" i="3"/>
  <c r="G72" i="3"/>
  <c r="H72" i="3"/>
  <c r="E72" i="3"/>
  <c r="B72" i="3"/>
  <c r="G73" i="3"/>
  <c r="H73" i="3"/>
  <c r="E73" i="3"/>
  <c r="B73" i="3"/>
  <c r="G74" i="3"/>
  <c r="E74" i="3"/>
  <c r="H74" i="3"/>
  <c r="G75" i="3"/>
  <c r="H75" i="3"/>
  <c r="E75" i="3"/>
  <c r="G76" i="3"/>
  <c r="H76" i="3"/>
  <c r="E76" i="3"/>
  <c r="G77" i="3"/>
  <c r="E77" i="3"/>
  <c r="H77" i="3"/>
  <c r="G78" i="3"/>
  <c r="E78" i="3"/>
  <c r="H78" i="3"/>
  <c r="G79" i="3"/>
  <c r="H79" i="3"/>
  <c r="E79" i="3"/>
  <c r="G80" i="3"/>
  <c r="H80" i="3"/>
  <c r="E80" i="3"/>
  <c r="G81" i="3"/>
  <c r="E81" i="3"/>
  <c r="H81" i="3"/>
  <c r="G82" i="3"/>
  <c r="E82" i="3"/>
  <c r="H82" i="3"/>
  <c r="G83" i="3"/>
  <c r="H83" i="3"/>
  <c r="E83" i="3"/>
  <c r="G84" i="3"/>
  <c r="H84" i="3"/>
  <c r="E84" i="3"/>
  <c r="G85" i="3"/>
  <c r="E85" i="3"/>
  <c r="B85" i="3"/>
  <c r="H85" i="3"/>
  <c r="G86" i="3"/>
  <c r="E86" i="3"/>
  <c r="H86" i="3"/>
  <c r="G87" i="3"/>
  <c r="H87" i="3"/>
  <c r="E87" i="3"/>
  <c r="G88" i="3"/>
  <c r="H88" i="3"/>
  <c r="E88" i="3"/>
  <c r="G89" i="3"/>
  <c r="E89" i="3"/>
  <c r="H89" i="3"/>
  <c r="G90" i="3"/>
  <c r="E90" i="3"/>
  <c r="H90" i="3"/>
  <c r="G91" i="3"/>
  <c r="H91" i="3"/>
  <c r="E91" i="3"/>
  <c r="G92" i="3"/>
  <c r="H92" i="3"/>
  <c r="E92" i="3"/>
  <c r="G93" i="3"/>
  <c r="E93" i="3"/>
  <c r="H93" i="3"/>
  <c r="G94" i="3"/>
  <c r="E94" i="3"/>
  <c r="H94" i="3"/>
  <c r="G95" i="3"/>
  <c r="H95" i="3"/>
  <c r="E95" i="3"/>
  <c r="G96" i="3"/>
  <c r="H96" i="3"/>
  <c r="E96" i="3"/>
  <c r="G97" i="3"/>
  <c r="E97" i="3"/>
  <c r="H97" i="3"/>
  <c r="G98" i="3"/>
  <c r="E98" i="3"/>
  <c r="H98" i="3"/>
  <c r="G99" i="3"/>
  <c r="H99" i="3"/>
  <c r="E99" i="3"/>
  <c r="G100" i="3"/>
  <c r="H100" i="3"/>
  <c r="E100" i="3"/>
  <c r="G101" i="3"/>
  <c r="E101" i="3"/>
  <c r="H101" i="3"/>
  <c r="G102" i="3"/>
  <c r="E102" i="3"/>
  <c r="H102" i="3"/>
  <c r="G103" i="3"/>
  <c r="H103" i="3"/>
  <c r="E103" i="3"/>
  <c r="G104" i="3"/>
  <c r="H104" i="3"/>
  <c r="E104" i="3"/>
  <c r="G105" i="3"/>
  <c r="E105" i="3"/>
  <c r="H105" i="3"/>
  <c r="G106" i="3"/>
  <c r="E106" i="3"/>
  <c r="H106" i="3"/>
  <c r="G107" i="3"/>
  <c r="H107" i="3"/>
  <c r="E107" i="3"/>
  <c r="G108" i="3"/>
  <c r="H108" i="3"/>
  <c r="E108" i="3"/>
  <c r="G109" i="3"/>
  <c r="E109" i="3"/>
  <c r="H109" i="3"/>
  <c r="G110" i="3"/>
  <c r="E110" i="3"/>
  <c r="B110" i="3"/>
  <c r="H110" i="3"/>
  <c r="G111" i="3"/>
  <c r="H111" i="3"/>
  <c r="E111" i="3"/>
  <c r="G112" i="3"/>
  <c r="H112" i="3"/>
  <c r="E112" i="3"/>
  <c r="G113" i="3"/>
  <c r="E113" i="3"/>
  <c r="H113" i="3"/>
  <c r="G114" i="3"/>
  <c r="E114" i="3"/>
  <c r="H114" i="3"/>
  <c r="G115" i="3"/>
  <c r="H115" i="3"/>
  <c r="E115" i="3"/>
  <c r="B115" i="3"/>
  <c r="G116" i="3"/>
  <c r="H116" i="3"/>
  <c r="E116" i="3"/>
  <c r="G117" i="3"/>
  <c r="E117" i="3"/>
  <c r="B117" i="3"/>
  <c r="H117" i="3"/>
  <c r="G118" i="3"/>
  <c r="E118" i="3"/>
  <c r="H118" i="3"/>
  <c r="G119" i="3"/>
  <c r="H119" i="3"/>
  <c r="E119" i="3"/>
  <c r="G120" i="3"/>
  <c r="H120" i="3"/>
  <c r="E120" i="3"/>
  <c r="B120" i="3"/>
  <c r="G121" i="3"/>
  <c r="E121" i="3"/>
  <c r="H121" i="3"/>
  <c r="G122" i="3"/>
  <c r="E122" i="3"/>
  <c r="H122" i="3"/>
  <c r="G123" i="3"/>
  <c r="H123" i="3"/>
  <c r="E123" i="3"/>
  <c r="G124" i="3"/>
  <c r="H124" i="3"/>
  <c r="E124" i="3"/>
  <c r="G125" i="3"/>
  <c r="E125" i="3"/>
  <c r="H125" i="3"/>
  <c r="G126" i="3"/>
  <c r="E126" i="3"/>
  <c r="B126" i="3"/>
  <c r="H126" i="3"/>
  <c r="G127" i="3"/>
  <c r="H127" i="3"/>
  <c r="E127" i="3"/>
  <c r="G128" i="3"/>
  <c r="H128" i="3"/>
  <c r="E128" i="3"/>
  <c r="G129" i="3"/>
  <c r="E129" i="3"/>
  <c r="H129" i="3"/>
  <c r="G130" i="3"/>
  <c r="E130" i="3"/>
  <c r="H130" i="3"/>
  <c r="G131" i="3"/>
  <c r="H131" i="3"/>
  <c r="E131" i="3"/>
  <c r="B131" i="3"/>
  <c r="G132" i="3"/>
  <c r="H132" i="3"/>
  <c r="E132" i="3"/>
  <c r="G133" i="3"/>
  <c r="E133" i="3"/>
  <c r="H133" i="3"/>
  <c r="G134" i="3"/>
  <c r="E134" i="3"/>
  <c r="H134" i="3"/>
  <c r="G135" i="3"/>
  <c r="H135" i="3"/>
  <c r="E135" i="3"/>
  <c r="G136" i="3"/>
  <c r="H136" i="3"/>
  <c r="E136" i="3"/>
  <c r="B136" i="3"/>
  <c r="G137" i="3"/>
  <c r="E137" i="3"/>
  <c r="H137" i="3"/>
  <c r="G138" i="3"/>
  <c r="E138" i="3"/>
  <c r="H138" i="3"/>
  <c r="G139" i="3"/>
  <c r="H139" i="3"/>
  <c r="E139" i="3"/>
  <c r="G140" i="3"/>
  <c r="H140" i="3"/>
  <c r="E140" i="3"/>
  <c r="G141" i="3"/>
  <c r="E141" i="3"/>
  <c r="H141" i="3"/>
  <c r="G142" i="3"/>
  <c r="E142" i="3"/>
  <c r="B142" i="3"/>
  <c r="H142" i="3"/>
  <c r="G143" i="3"/>
  <c r="H143" i="3"/>
  <c r="E143" i="3"/>
  <c r="G144" i="3"/>
  <c r="H144" i="3"/>
  <c r="E144" i="3"/>
  <c r="G145" i="3"/>
  <c r="E145" i="3"/>
  <c r="H145" i="3"/>
  <c r="G146" i="3"/>
  <c r="E146" i="3"/>
  <c r="H146" i="3"/>
  <c r="G147" i="3"/>
  <c r="H147" i="3"/>
  <c r="E147" i="3"/>
  <c r="B147" i="3"/>
  <c r="G148" i="3"/>
  <c r="H148" i="3"/>
  <c r="E148" i="3"/>
  <c r="G149" i="3"/>
  <c r="E149" i="3"/>
  <c r="B149" i="3"/>
  <c r="H149" i="3"/>
  <c r="G150" i="3"/>
  <c r="E150" i="3"/>
  <c r="H150" i="3"/>
  <c r="G151" i="3"/>
  <c r="H151" i="3"/>
  <c r="E151" i="3"/>
  <c r="G152" i="3"/>
  <c r="H152" i="3"/>
  <c r="E152" i="3"/>
  <c r="B152" i="3"/>
  <c r="G153" i="3"/>
  <c r="E153" i="3"/>
  <c r="H153" i="3"/>
  <c r="G154" i="3"/>
  <c r="E154" i="3"/>
  <c r="H154" i="3"/>
  <c r="G155" i="3"/>
  <c r="H155" i="3"/>
  <c r="E155" i="3"/>
  <c r="G156" i="3"/>
  <c r="H156" i="3"/>
  <c r="E156" i="3"/>
  <c r="G157" i="3"/>
  <c r="E157" i="3"/>
  <c r="H157" i="3"/>
  <c r="G158" i="3"/>
  <c r="E158" i="3"/>
  <c r="B158" i="3"/>
  <c r="H158" i="3"/>
  <c r="G159" i="3"/>
  <c r="H159" i="3"/>
  <c r="E159" i="3"/>
  <c r="G160" i="3"/>
  <c r="H160" i="3"/>
  <c r="E160" i="3"/>
  <c r="G161" i="3"/>
  <c r="E161" i="3"/>
  <c r="H161" i="3"/>
  <c r="G162" i="3"/>
  <c r="E162" i="3"/>
  <c r="H162" i="3"/>
  <c r="G163" i="3"/>
  <c r="H163" i="3"/>
  <c r="E163"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4" i="37"/>
  <c r="H45" i="37"/>
  <c r="H48" i="37"/>
  <c r="H49" i="37"/>
  <c r="H51" i="37"/>
  <c r="H52" i="37"/>
  <c r="H53" i="37"/>
  <c r="H54" i="37"/>
  <c r="H56" i="37"/>
  <c r="H57" i="37"/>
  <c r="H60" i="37"/>
  <c r="H62" i="37"/>
  <c r="H63" i="37"/>
  <c r="H65" i="37"/>
  <c r="H66" i="37"/>
  <c r="H68" i="37"/>
  <c r="H69" i="37"/>
  <c r="H71" i="37"/>
  <c r="H72" i="37"/>
  <c r="H74" i="37"/>
  <c r="H75" i="37"/>
  <c r="H76" i="37"/>
  <c r="H77" i="37"/>
  <c r="H80" i="37"/>
  <c r="H81" i="37"/>
  <c r="H82" i="37"/>
  <c r="H83" i="37"/>
  <c r="H84" i="37"/>
  <c r="H85" i="37"/>
  <c r="H86" i="37"/>
  <c r="H88" i="37"/>
  <c r="H90" i="37"/>
  <c r="H91" i="37"/>
  <c r="H92" i="37"/>
  <c r="H93" i="37"/>
  <c r="H95" i="37"/>
  <c r="H96" i="37"/>
  <c r="H97" i="37"/>
  <c r="H98" i="37"/>
  <c r="H99" i="37"/>
  <c r="H100" i="37"/>
  <c r="H101" i="37"/>
  <c r="H104" i="37"/>
  <c r="H105" i="37"/>
  <c r="H107" i="37"/>
  <c r="H109" i="37"/>
  <c r="H110" i="37"/>
  <c r="H112" i="37"/>
  <c r="H114" i="37"/>
  <c r="H115" i="37"/>
  <c r="H117"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8" i="37"/>
  <c r="H162" i="37"/>
  <c r="H164" i="37"/>
  <c r="H167" i="37"/>
  <c r="H169" i="37"/>
  <c r="H170" i="37"/>
  <c r="H171" i="37"/>
  <c r="H174" i="37"/>
  <c r="H176" i="37"/>
  <c r="H177" i="37"/>
  <c r="H178" i="37"/>
  <c r="H180" i="37"/>
  <c r="H182" i="37"/>
  <c r="H183" i="37"/>
  <c r="H185" i="37"/>
  <c r="H187" i="37"/>
  <c r="H189" i="37"/>
  <c r="H190" i="37"/>
  <c r="H191"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8" i="37"/>
  <c r="H230" i="37"/>
  <c r="H231" i="37"/>
  <c r="H233" i="37"/>
  <c r="H234" i="37"/>
  <c r="H235" i="37"/>
  <c r="H238" i="37"/>
  <c r="H239" i="37"/>
  <c r="H241" i="37"/>
  <c r="H242" i="37"/>
  <c r="H244" i="37"/>
  <c r="H245" i="37"/>
  <c r="H246" i="37"/>
  <c r="H247" i="37"/>
  <c r="H250" i="37"/>
  <c r="H251" i="37"/>
  <c r="H252" i="37"/>
  <c r="H253" i="37"/>
  <c r="H254" i="37"/>
  <c r="H257" i="37"/>
  <c r="H258"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7" i="37"/>
  <c r="H298"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1" i="37"/>
  <c r="H612" i="37"/>
  <c r="H613" i="37"/>
  <c r="H614" i="37"/>
  <c r="H615" i="37"/>
  <c r="H616" i="37"/>
  <c r="H617" i="37"/>
  <c r="H618" i="37"/>
  <c r="H621" i="37"/>
  <c r="H622" i="37"/>
  <c r="H624" i="37"/>
  <c r="H625" i="37"/>
  <c r="H626" i="37"/>
  <c r="H627" i="37"/>
  <c r="H628" i="37"/>
  <c r="H631" i="37"/>
  <c r="H632" i="37"/>
  <c r="H641" i="37"/>
  <c r="H642" i="37"/>
  <c r="H643" i="37"/>
  <c r="H644" i="37"/>
  <c r="C646" i="37"/>
  <c r="H646" i="37"/>
  <c r="D646" i="37"/>
  <c r="C647" i="37"/>
  <c r="D647" i="37"/>
  <c r="G647" i="37"/>
  <c r="C648" i="37"/>
  <c r="D648" i="37"/>
  <c r="H648" i="37"/>
  <c r="C649" i="37"/>
  <c r="H649" i="37"/>
  <c r="D649" i="37"/>
  <c r="C650" i="37"/>
  <c r="D650" i="37"/>
  <c r="G650" i="37"/>
  <c r="C651" i="37"/>
  <c r="H651" i="37"/>
  <c r="D651" i="37"/>
  <c r="C652" i="37"/>
  <c r="D652" i="37"/>
  <c r="C653" i="37"/>
  <c r="D653" i="37"/>
  <c r="H653" i="37"/>
  <c r="C654" i="37"/>
  <c r="H654" i="37"/>
  <c r="D654" i="37"/>
  <c r="C655" i="37"/>
  <c r="D655" i="37"/>
  <c r="H655" i="37"/>
  <c r="C656" i="37"/>
  <c r="D656" i="37"/>
  <c r="H656" i="37"/>
  <c r="C657" i="37"/>
  <c r="H657" i="37"/>
  <c r="D657" i="37"/>
  <c r="C658" i="37"/>
  <c r="D658" i="37"/>
  <c r="H658" i="37"/>
  <c r="C659" i="37"/>
  <c r="D659" i="37"/>
  <c r="H659" i="37"/>
  <c r="C660" i="37"/>
  <c r="D660" i="37"/>
  <c r="H660" i="37"/>
  <c r="C661" i="37"/>
  <c r="H661" i="37"/>
  <c r="D661" i="37"/>
  <c r="C662" i="37"/>
  <c r="D662" i="37"/>
  <c r="C663" i="37"/>
  <c r="H663" i="37"/>
  <c r="D663" i="37"/>
  <c r="C664" i="37"/>
  <c r="D664" i="37"/>
  <c r="H664" i="37"/>
  <c r="C665" i="37"/>
  <c r="H665" i="37"/>
  <c r="D665" i="37"/>
  <c r="C666" i="37"/>
  <c r="D666" i="37"/>
  <c r="C667" i="37"/>
  <c r="D667" i="37"/>
  <c r="C668" i="37"/>
  <c r="D668" i="37"/>
  <c r="H668" i="37"/>
  <c r="C669" i="37"/>
  <c r="D669" i="37"/>
  <c r="H669" i="37"/>
  <c r="C670" i="37"/>
  <c r="H670" i="37"/>
  <c r="D670" i="37"/>
  <c r="C671" i="37"/>
  <c r="H671" i="37"/>
  <c r="D671" i="37"/>
  <c r="C672" i="37"/>
  <c r="D672" i="37"/>
  <c r="G672" i="37"/>
  <c r="H672" i="37"/>
  <c r="C673" i="37"/>
  <c r="D673" i="37"/>
  <c r="H673" i="37"/>
  <c r="C674" i="37"/>
  <c r="D674" i="37"/>
  <c r="C675" i="37"/>
  <c r="D675" i="37"/>
  <c r="H675" i="37"/>
  <c r="C676" i="37"/>
  <c r="D676" i="37"/>
  <c r="H676" i="37"/>
  <c r="C677" i="37"/>
  <c r="H677" i="37"/>
  <c r="D677" i="37"/>
  <c r="C678" i="37"/>
  <c r="D678" i="37"/>
  <c r="G678" i="37"/>
  <c r="C679" i="37"/>
  <c r="H679" i="37"/>
  <c r="D679" i="37"/>
  <c r="C680" i="37"/>
  <c r="D680" i="37"/>
  <c r="H680" i="37"/>
  <c r="C681" i="37"/>
  <c r="D681" i="37"/>
  <c r="H681" i="37"/>
  <c r="C682" i="37"/>
  <c r="D682" i="37"/>
  <c r="C683" i="37"/>
  <c r="D683" i="37"/>
  <c r="C684" i="37"/>
  <c r="D684" i="37"/>
  <c r="H684" i="37"/>
  <c r="C685" i="37"/>
  <c r="D685" i="37"/>
  <c r="H685" i="37"/>
  <c r="C686" i="37"/>
  <c r="H686" i="37"/>
  <c r="D686" i="37"/>
  <c r="C687" i="37"/>
  <c r="H687" i="37"/>
  <c r="D687" i="37"/>
  <c r="C688" i="37"/>
  <c r="D688" i="37"/>
  <c r="H688" i="37"/>
  <c r="C689" i="37"/>
  <c r="D689" i="37"/>
  <c r="H689" i="37"/>
  <c r="C690" i="37"/>
  <c r="D690" i="37"/>
  <c r="C691" i="37"/>
  <c r="D691" i="37"/>
  <c r="H691" i="37"/>
  <c r="C692" i="37"/>
  <c r="D692" i="37"/>
  <c r="H692" i="37"/>
  <c r="C693" i="37"/>
  <c r="H693" i="37"/>
  <c r="D693" i="37"/>
  <c r="C694" i="37"/>
  <c r="D694" i="37"/>
  <c r="C695" i="37"/>
  <c r="D695" i="37"/>
  <c r="H695" i="37"/>
  <c r="C696" i="37"/>
  <c r="D696" i="37"/>
  <c r="H696" i="37"/>
  <c r="C697" i="37"/>
  <c r="D697" i="37"/>
  <c r="H697" i="37"/>
  <c r="C698" i="37"/>
  <c r="D698" i="37"/>
  <c r="C699" i="37"/>
  <c r="D699" i="37"/>
  <c r="C700" i="37"/>
  <c r="D700" i="37"/>
  <c r="H700" i="37"/>
  <c r="C701" i="37"/>
  <c r="D701" i="37"/>
  <c r="H701" i="37"/>
  <c r="C702" i="37"/>
  <c r="H702" i="37"/>
  <c r="D702" i="37"/>
  <c r="C703" i="37"/>
  <c r="D703" i="37"/>
  <c r="H703" i="37"/>
  <c r="C704" i="37"/>
  <c r="D704" i="37"/>
  <c r="H704" i="37"/>
  <c r="C705" i="37"/>
  <c r="H705" i="37"/>
  <c r="D705" i="37"/>
  <c r="C706" i="37"/>
  <c r="D706" i="37"/>
  <c r="C707" i="37"/>
  <c r="D707" i="37"/>
  <c r="H707" i="37"/>
  <c r="C708" i="37"/>
  <c r="D708" i="37"/>
  <c r="H708" i="37"/>
  <c r="C709" i="37"/>
  <c r="H709" i="37"/>
  <c r="D709" i="37"/>
  <c r="C710" i="37"/>
  <c r="H710" i="37"/>
  <c r="D710" i="37"/>
  <c r="C711" i="37"/>
  <c r="D711" i="37"/>
  <c r="H711" i="37"/>
  <c r="C712" i="37"/>
  <c r="D712" i="37"/>
  <c r="H712" i="37"/>
  <c r="C713" i="37"/>
  <c r="H713" i="37"/>
  <c r="D713" i="37"/>
  <c r="C714" i="37"/>
  <c r="D714" i="37"/>
  <c r="C715" i="37"/>
  <c r="H715" i="37"/>
  <c r="D715" i="37"/>
  <c r="C716" i="37"/>
  <c r="D716" i="37"/>
  <c r="H716" i="37"/>
  <c r="C717" i="37"/>
  <c r="D717" i="37"/>
  <c r="H717" i="37"/>
  <c r="C718" i="37"/>
  <c r="H718" i="37"/>
  <c r="D718" i="37"/>
  <c r="C719" i="37"/>
  <c r="D719" i="37"/>
  <c r="H719" i="37"/>
  <c r="C720" i="37"/>
  <c r="D720" i="37"/>
  <c r="H720" i="37"/>
  <c r="C721" i="37"/>
  <c r="H721" i="37"/>
  <c r="D721" i="37"/>
  <c r="C722" i="37"/>
  <c r="D722" i="37"/>
  <c r="C723" i="37"/>
  <c r="D723" i="37"/>
  <c r="H723" i="37"/>
  <c r="C724" i="37"/>
  <c r="D724" i="37"/>
  <c r="H724" i="37"/>
  <c r="C725" i="37"/>
  <c r="H725" i="37"/>
  <c r="D725" i="37"/>
  <c r="C726" i="37"/>
  <c r="D726" i="37"/>
  <c r="C727" i="37"/>
  <c r="H727" i="37"/>
  <c r="D727" i="37"/>
  <c r="C728" i="37"/>
  <c r="D728" i="37"/>
  <c r="H728" i="37"/>
  <c r="C729" i="37"/>
  <c r="H729" i="37"/>
  <c r="D729" i="37"/>
  <c r="C730" i="37"/>
  <c r="D730" i="37"/>
  <c r="G730" i="37"/>
  <c r="C731" i="37"/>
  <c r="D731" i="37"/>
  <c r="C732" i="37"/>
  <c r="D732" i="37"/>
  <c r="H732" i="37"/>
  <c r="C733" i="37"/>
  <c r="D733" i="37"/>
  <c r="H733" i="37"/>
  <c r="C734" i="37"/>
  <c r="H734" i="37"/>
  <c r="D734" i="37"/>
  <c r="C735" i="37"/>
  <c r="D735" i="37"/>
  <c r="C736" i="37"/>
  <c r="D736" i="37"/>
  <c r="C737" i="37"/>
  <c r="D737" i="37"/>
  <c r="H737" i="37"/>
  <c r="C738" i="37"/>
  <c r="H738" i="37"/>
  <c r="D738" i="37"/>
  <c r="C739" i="37"/>
  <c r="D739" i="37"/>
  <c r="H739" i="37"/>
  <c r="C740" i="37"/>
  <c r="D740" i="37"/>
  <c r="H740" i="37"/>
  <c r="C741" i="37"/>
  <c r="H741" i="37"/>
  <c r="D741" i="37"/>
  <c r="C742" i="37"/>
  <c r="D742" i="37"/>
  <c r="G742" i="37"/>
  <c r="C743" i="37"/>
  <c r="H743" i="37"/>
  <c r="D743" i="37"/>
  <c r="C744" i="37"/>
  <c r="D744" i="37"/>
  <c r="C745" i="37"/>
  <c r="D745" i="37"/>
  <c r="H745" i="37"/>
  <c r="C746" i="37"/>
  <c r="D746" i="37"/>
  <c r="C747" i="37"/>
  <c r="D747" i="37"/>
  <c r="C748" i="37"/>
  <c r="D748" i="37"/>
  <c r="H748" i="37"/>
  <c r="C749" i="37"/>
  <c r="D749" i="37"/>
  <c r="H749" i="37"/>
  <c r="C750" i="37"/>
  <c r="H750" i="37"/>
  <c r="D750" i="37"/>
  <c r="C751" i="37"/>
  <c r="H751" i="37"/>
  <c r="D751" i="37"/>
  <c r="C752" i="37"/>
  <c r="D752" i="37"/>
  <c r="H752" i="37"/>
  <c r="C753" i="37"/>
  <c r="D753" i="37"/>
  <c r="H753" i="37"/>
  <c r="C754" i="37"/>
  <c r="D754" i="37"/>
  <c r="C755" i="37"/>
  <c r="D755" i="37"/>
  <c r="H755" i="37"/>
  <c r="C756" i="37"/>
  <c r="D756" i="37"/>
  <c r="H756" i="37"/>
  <c r="C757" i="37"/>
  <c r="H757" i="37"/>
  <c r="D757" i="37"/>
  <c r="C758" i="37"/>
  <c r="D758" i="37"/>
  <c r="C759" i="37"/>
  <c r="D759" i="37"/>
  <c r="H759" i="37"/>
  <c r="C760" i="37"/>
  <c r="D760" i="37"/>
  <c r="H760" i="37"/>
  <c r="C761" i="37"/>
  <c r="D761" i="37"/>
  <c r="H761" i="37"/>
  <c r="C762" i="37"/>
  <c r="D762" i="37"/>
  <c r="C763" i="37"/>
  <c r="H763" i="37"/>
  <c r="D763" i="37"/>
  <c r="C764" i="37"/>
  <c r="D764" i="37"/>
  <c r="H764" i="37"/>
  <c r="C765" i="37"/>
  <c r="D765" i="37"/>
  <c r="H765" i="37"/>
  <c r="C766" i="37"/>
  <c r="D766" i="37"/>
  <c r="C767" i="37"/>
  <c r="D767" i="37"/>
  <c r="H767" i="37"/>
  <c r="C768" i="37"/>
  <c r="D768" i="37"/>
  <c r="H768" i="37"/>
  <c r="C769" i="37"/>
  <c r="H769" i="37"/>
  <c r="D769" i="37"/>
  <c r="C770" i="37"/>
  <c r="D770" i="37"/>
  <c r="G770" i="37"/>
  <c r="C771" i="37"/>
  <c r="D771" i="37"/>
  <c r="H771" i="37"/>
  <c r="C772" i="37"/>
  <c r="D772" i="37"/>
  <c r="H772" i="37"/>
  <c r="C773" i="37"/>
  <c r="H773" i="37"/>
  <c r="D773" i="37"/>
  <c r="C774" i="37"/>
  <c r="D774" i="37"/>
  <c r="C775" i="37"/>
  <c r="D775" i="37"/>
  <c r="H775" i="37"/>
  <c r="C776" i="37"/>
  <c r="D776" i="37"/>
  <c r="H776" i="37"/>
  <c r="C777" i="37"/>
  <c r="H777" i="37"/>
  <c r="D777" i="37"/>
  <c r="C778" i="37"/>
  <c r="D778" i="37"/>
  <c r="C779" i="37"/>
  <c r="H779" i="37"/>
  <c r="D779" i="37"/>
  <c r="C780" i="37"/>
  <c r="D780" i="37"/>
  <c r="H780" i="37"/>
  <c r="C781" i="37"/>
  <c r="D781" i="37"/>
  <c r="H781" i="37"/>
  <c r="C782" i="37"/>
  <c r="H782" i="37"/>
  <c r="D782" i="37"/>
  <c r="C783" i="37"/>
  <c r="D783" i="37"/>
  <c r="H783" i="37"/>
  <c r="C784" i="37"/>
  <c r="D784" i="37"/>
  <c r="H784" i="37"/>
  <c r="C785" i="37"/>
  <c r="H785" i="37"/>
  <c r="D785" i="37"/>
  <c r="C786" i="37"/>
  <c r="D786" i="37"/>
  <c r="C787" i="37"/>
  <c r="D787" i="37"/>
  <c r="H787" i="37"/>
  <c r="C788" i="37"/>
  <c r="D788" i="37"/>
  <c r="H788" i="37"/>
  <c r="C789" i="37"/>
  <c r="H789" i="37"/>
  <c r="D789" i="37"/>
  <c r="C790" i="37"/>
  <c r="D790" i="37"/>
  <c r="C791" i="37"/>
  <c r="H791" i="37"/>
  <c r="D791" i="37"/>
  <c r="C792" i="37"/>
  <c r="D792" i="37"/>
  <c r="C793" i="37"/>
  <c r="H793" i="37"/>
  <c r="D793" i="37"/>
  <c r="C794" i="37"/>
  <c r="D794" i="37"/>
  <c r="G794" i="37"/>
  <c r="C795" i="37"/>
  <c r="D795" i="37"/>
  <c r="C796" i="37"/>
  <c r="D796" i="37"/>
  <c r="C797" i="37"/>
  <c r="D797" i="37"/>
  <c r="H797" i="37"/>
  <c r="C798" i="37"/>
  <c r="H798" i="37"/>
  <c r="D798" i="37"/>
  <c r="C799" i="37"/>
  <c r="D799" i="37"/>
  <c r="C800" i="37"/>
  <c r="D800" i="37"/>
  <c r="H800" i="37"/>
  <c r="C801" i="37"/>
  <c r="D801" i="37"/>
  <c r="H801" i="37"/>
  <c r="C802" i="37"/>
  <c r="H802" i="37"/>
  <c r="D802" i="37"/>
  <c r="C803" i="37"/>
  <c r="D803" i="37"/>
  <c r="H803" i="37"/>
  <c r="C804" i="37"/>
  <c r="D804" i="37"/>
  <c r="H804" i="37"/>
  <c r="C805" i="37"/>
  <c r="H805" i="37"/>
  <c r="D805" i="37"/>
  <c r="C806" i="37"/>
  <c r="D806" i="37"/>
  <c r="C807" i="37"/>
  <c r="H807" i="37"/>
  <c r="D807" i="37"/>
  <c r="C808" i="37"/>
  <c r="D808" i="37"/>
  <c r="H808" i="37"/>
  <c r="C809" i="37"/>
  <c r="D809" i="37"/>
  <c r="H809" i="37"/>
  <c r="C810" i="37"/>
  <c r="D810" i="37"/>
  <c r="C811" i="37"/>
  <c r="D811" i="37"/>
  <c r="G811" i="37"/>
  <c r="C812" i="37"/>
  <c r="D812" i="37"/>
  <c r="G812" i="37"/>
  <c r="C813" i="37"/>
  <c r="D813" i="37"/>
  <c r="H813" i="37"/>
  <c r="C814" i="37"/>
  <c r="D814" i="37"/>
  <c r="H814" i="37"/>
  <c r="C815" i="37"/>
  <c r="H815" i="37"/>
  <c r="D815" i="37"/>
  <c r="C816" i="37"/>
  <c r="D816" i="37"/>
  <c r="C817" i="37"/>
  <c r="D817" i="37"/>
  <c r="H817" i="37"/>
  <c r="C818" i="37"/>
  <c r="D818" i="37"/>
  <c r="H818" i="37"/>
  <c r="C819" i="37"/>
  <c r="D819" i="37"/>
  <c r="C820" i="37"/>
  <c r="G820" i="37"/>
  <c r="D820" i="37"/>
  <c r="C821" i="37"/>
  <c r="D821" i="37"/>
  <c r="H821" i="37"/>
  <c r="C822" i="37"/>
  <c r="H822" i="37"/>
  <c r="D822" i="37"/>
  <c r="C823" i="37"/>
  <c r="D823" i="37"/>
  <c r="H823" i="37"/>
  <c r="C824" i="37"/>
  <c r="D824" i="37"/>
  <c r="H824" i="37"/>
  <c r="C825" i="37"/>
  <c r="H825" i="37"/>
  <c r="D825" i="37"/>
  <c r="C826" i="37"/>
  <c r="D826" i="37"/>
  <c r="C827" i="37"/>
  <c r="D827" i="37"/>
  <c r="H827" i="37"/>
  <c r="C828" i="37"/>
  <c r="D828" i="37"/>
  <c r="H828" i="37"/>
  <c r="C829" i="37"/>
  <c r="H829" i="37"/>
  <c r="D829" i="37"/>
  <c r="C830" i="37"/>
  <c r="D830" i="37"/>
  <c r="G830" i="37"/>
  <c r="C831" i="37"/>
  <c r="H831" i="37"/>
  <c r="D831" i="37"/>
  <c r="C832" i="37"/>
  <c r="D832" i="37"/>
  <c r="H832" i="37"/>
  <c r="C833" i="37"/>
  <c r="D833" i="37"/>
  <c r="H833" i="37"/>
  <c r="C834" i="37"/>
  <c r="D834" i="37"/>
  <c r="C835" i="37"/>
  <c r="D835" i="37"/>
  <c r="C836" i="37"/>
  <c r="D836" i="37"/>
  <c r="C837" i="37"/>
  <c r="D837" i="37"/>
  <c r="H837" i="37"/>
  <c r="C838" i="37"/>
  <c r="H838" i="37"/>
  <c r="D838" i="37"/>
  <c r="C839" i="37"/>
  <c r="D839" i="37"/>
  <c r="H839" i="37"/>
  <c r="C840" i="37"/>
  <c r="D840" i="37"/>
  <c r="H840" i="37"/>
  <c r="C841" i="37"/>
  <c r="H841" i="37"/>
  <c r="D841" i="37"/>
  <c r="C842" i="37"/>
  <c r="D842" i="37"/>
  <c r="C843" i="37"/>
  <c r="D843" i="37"/>
  <c r="H843" i="37"/>
  <c r="C844" i="37"/>
  <c r="D844" i="37"/>
  <c r="H844" i="37"/>
  <c r="C845" i="37"/>
  <c r="H845" i="37"/>
  <c r="D845" i="37"/>
  <c r="C846" i="37"/>
  <c r="D846" i="37"/>
  <c r="C847" i="37"/>
  <c r="H847" i="37"/>
  <c r="D847" i="37"/>
  <c r="C848" i="37"/>
  <c r="D848" i="37"/>
  <c r="H848" i="37"/>
  <c r="C849" i="37"/>
  <c r="D849" i="37"/>
  <c r="H849" i="37"/>
  <c r="C850" i="37"/>
  <c r="D850" i="37"/>
  <c r="C851" i="37"/>
  <c r="H851" i="37"/>
  <c r="D851" i="37"/>
  <c r="C852" i="37"/>
  <c r="D852" i="37"/>
  <c r="G852" i="37"/>
  <c r="H852" i="37"/>
  <c r="C853" i="37"/>
  <c r="D853" i="37"/>
  <c r="H853" i="37"/>
  <c r="C854" i="37"/>
  <c r="D854" i="37"/>
  <c r="C855" i="37"/>
  <c r="D855" i="37"/>
  <c r="H855" i="37"/>
  <c r="C856" i="37"/>
  <c r="D856" i="37"/>
  <c r="H856" i="37"/>
  <c r="C857" i="37"/>
  <c r="H857" i="37"/>
  <c r="D857" i="37"/>
  <c r="C858" i="37"/>
  <c r="D858" i="37"/>
  <c r="G858" i="37"/>
  <c r="C859" i="37"/>
  <c r="D859" i="37"/>
  <c r="H859" i="37"/>
  <c r="C860" i="37"/>
  <c r="D860" i="37"/>
  <c r="H860" i="37"/>
  <c r="C861" i="37"/>
  <c r="H861" i="37"/>
  <c r="D861" i="37"/>
  <c r="C862" i="37"/>
  <c r="D862" i="37"/>
  <c r="C863" i="37"/>
  <c r="H863" i="37"/>
  <c r="D863" i="37"/>
  <c r="C864" i="37"/>
  <c r="D864" i="37"/>
  <c r="H864" i="37"/>
  <c r="C865" i="37"/>
  <c r="D865" i="37"/>
  <c r="H865" i="37"/>
  <c r="C866" i="37"/>
  <c r="D866" i="37"/>
  <c r="C867" i="37"/>
  <c r="D867" i="37"/>
  <c r="C868" i="37"/>
  <c r="D868" i="37"/>
  <c r="H868" i="37"/>
  <c r="C869" i="37"/>
  <c r="D869" i="37"/>
  <c r="H869" i="37"/>
  <c r="C870" i="37"/>
  <c r="H870" i="37"/>
  <c r="D870" i="37"/>
  <c r="C871" i="37"/>
  <c r="D871" i="37"/>
  <c r="H871" i="37"/>
  <c r="C872" i="37"/>
  <c r="D872" i="37"/>
  <c r="H872" i="37"/>
  <c r="C873" i="37"/>
  <c r="H873" i="37"/>
  <c r="D873" i="37"/>
  <c r="C874" i="37"/>
  <c r="D874" i="37"/>
  <c r="C875" i="37"/>
  <c r="D875" i="37"/>
  <c r="H875" i="37"/>
  <c r="C876" i="37"/>
  <c r="D876" i="37"/>
  <c r="H876" i="37"/>
  <c r="C877" i="37"/>
  <c r="H877" i="37"/>
  <c r="D877" i="37"/>
  <c r="C878" i="37"/>
  <c r="D878" i="37"/>
  <c r="G878" i="37"/>
  <c r="C879" i="37"/>
  <c r="H879" i="37"/>
  <c r="D879" i="37"/>
  <c r="C880" i="37"/>
  <c r="D880" i="37"/>
  <c r="C881" i="37"/>
  <c r="D881" i="37"/>
  <c r="H881" i="37"/>
  <c r="C882" i="37"/>
  <c r="D882" i="37"/>
  <c r="C883" i="37"/>
  <c r="D883" i="37"/>
  <c r="C884" i="37"/>
  <c r="D884" i="37"/>
  <c r="H884" i="37"/>
  <c r="C885" i="37"/>
  <c r="D885" i="37"/>
  <c r="H885" i="37"/>
  <c r="C886" i="37"/>
  <c r="H886" i="37"/>
  <c r="D886" i="37"/>
  <c r="C887" i="37"/>
  <c r="D887" i="37"/>
  <c r="H887" i="37"/>
  <c r="C888" i="37"/>
  <c r="D888" i="37"/>
  <c r="H888" i="37"/>
  <c r="C889" i="37"/>
  <c r="H889" i="37"/>
  <c r="D889" i="37"/>
  <c r="C890" i="37"/>
  <c r="D890" i="37"/>
  <c r="C891" i="37"/>
  <c r="D891" i="37"/>
  <c r="H891" i="37"/>
  <c r="C892" i="37"/>
  <c r="D892" i="37"/>
  <c r="H892" i="37"/>
  <c r="C893" i="37"/>
  <c r="H893" i="37"/>
  <c r="D893" i="37"/>
  <c r="C894" i="37"/>
  <c r="D894" i="37"/>
  <c r="G894" i="37"/>
  <c r="C895" i="37"/>
  <c r="H895" i="37"/>
  <c r="D895" i="37"/>
  <c r="C896" i="37"/>
  <c r="D896" i="37"/>
  <c r="H896" i="37"/>
  <c r="C897" i="37"/>
  <c r="D897" i="37"/>
  <c r="H897" i="37"/>
  <c r="C898" i="37"/>
  <c r="D898" i="37"/>
  <c r="C899" i="37"/>
  <c r="D899" i="37"/>
  <c r="C900" i="37"/>
  <c r="D900" i="37"/>
  <c r="C901" i="37"/>
  <c r="D901" i="37"/>
  <c r="H901" i="37"/>
  <c r="C902" i="37"/>
  <c r="H902" i="37"/>
  <c r="D902" i="37"/>
  <c r="C903" i="37"/>
  <c r="D903" i="37"/>
  <c r="H903" i="37"/>
  <c r="C904" i="37"/>
  <c r="D904" i="37"/>
  <c r="H904" i="37"/>
  <c r="C905" i="37"/>
  <c r="H905" i="37"/>
  <c r="D905" i="37"/>
  <c r="C906" i="37"/>
  <c r="D906" i="37"/>
  <c r="C907" i="37"/>
  <c r="D907" i="37"/>
  <c r="H907" i="37"/>
  <c r="C908" i="37"/>
  <c r="D908" i="37"/>
  <c r="H908" i="37"/>
  <c r="C909" i="37"/>
  <c r="H909" i="37"/>
  <c r="D909" i="37"/>
  <c r="C910" i="37"/>
  <c r="D910" i="37"/>
  <c r="C911" i="37"/>
  <c r="H911" i="37"/>
  <c r="D911" i="37"/>
  <c r="C912" i="37"/>
  <c r="D912" i="37"/>
  <c r="H912" i="37"/>
  <c r="C913" i="37"/>
  <c r="D913" i="37"/>
  <c r="H913" i="37"/>
  <c r="C914" i="37"/>
  <c r="D914" i="37"/>
  <c r="C915" i="37"/>
  <c r="H915" i="37"/>
  <c r="D915" i="37"/>
  <c r="C916" i="37"/>
  <c r="D916" i="37"/>
  <c r="G916" i="37"/>
  <c r="H916" i="37"/>
  <c r="C917" i="37"/>
  <c r="D917" i="37"/>
  <c r="H917" i="37"/>
  <c r="C918" i="37"/>
  <c r="D918" i="37"/>
  <c r="C919" i="37"/>
  <c r="D919" i="37"/>
  <c r="H919" i="37"/>
  <c r="C920" i="37"/>
  <c r="D920" i="37"/>
  <c r="H920" i="37"/>
  <c r="C921" i="37"/>
  <c r="H921" i="37"/>
  <c r="D921" i="37"/>
  <c r="C922" i="37"/>
  <c r="D922" i="37"/>
  <c r="G922" i="37"/>
  <c r="C923" i="37"/>
  <c r="D923" i="37"/>
  <c r="H923" i="37"/>
  <c r="C924" i="37"/>
  <c r="D924" i="37"/>
  <c r="H924" i="37"/>
  <c r="C925" i="37"/>
  <c r="H925" i="37"/>
  <c r="D925" i="37"/>
  <c r="C926" i="37"/>
  <c r="D926" i="37"/>
  <c r="C927" i="37"/>
  <c r="H927" i="37"/>
  <c r="D927" i="37"/>
  <c r="C928" i="37"/>
  <c r="D928" i="37"/>
  <c r="H928" i="37"/>
  <c r="C929" i="37"/>
  <c r="D929" i="37"/>
  <c r="H929" i="37"/>
  <c r="C930" i="37"/>
  <c r="D930" i="37"/>
  <c r="C931" i="37"/>
  <c r="D931" i="37"/>
  <c r="G931" i="37"/>
  <c r="C932" i="37"/>
  <c r="D932" i="37"/>
  <c r="H932" i="37"/>
  <c r="C933" i="37"/>
  <c r="D933" i="37"/>
  <c r="H933" i="37"/>
  <c r="C934" i="37"/>
  <c r="H934" i="37"/>
  <c r="D934" i="37"/>
  <c r="C935" i="37"/>
  <c r="D935" i="37"/>
  <c r="H935" i="37"/>
  <c r="C936" i="37"/>
  <c r="D936" i="37"/>
  <c r="H936" i="37"/>
  <c r="C937" i="37"/>
  <c r="H937" i="37"/>
  <c r="D937" i="37"/>
  <c r="C938" i="37"/>
  <c r="D938" i="37"/>
  <c r="C939" i="37"/>
  <c r="D939" i="37"/>
  <c r="H939" i="37"/>
  <c r="C940" i="37"/>
  <c r="D940" i="37"/>
  <c r="H940" i="37"/>
  <c r="C941" i="37"/>
  <c r="H941" i="37"/>
  <c r="D941" i="37"/>
  <c r="C942" i="37"/>
  <c r="D942" i="37"/>
  <c r="G942" i="37"/>
  <c r="C943" i="37"/>
  <c r="H943" i="37"/>
  <c r="D943" i="37"/>
  <c r="C944" i="37"/>
  <c r="D944" i="37"/>
  <c r="C945" i="37"/>
  <c r="D945" i="37"/>
  <c r="H945" i="37"/>
  <c r="C946" i="37"/>
  <c r="D946" i="37"/>
  <c r="C947" i="37"/>
  <c r="D947" i="37"/>
  <c r="C948" i="37"/>
  <c r="D948" i="37"/>
  <c r="H948" i="37"/>
  <c r="C949" i="37"/>
  <c r="D949" i="37"/>
  <c r="H949" i="37"/>
  <c r="C950" i="37"/>
  <c r="H950" i="37"/>
  <c r="D950" i="37"/>
  <c r="C951" i="37"/>
  <c r="D951" i="37"/>
  <c r="H951" i="37"/>
  <c r="C952" i="37"/>
  <c r="D952" i="37"/>
  <c r="H952" i="37"/>
  <c r="C953" i="37"/>
  <c r="H953" i="37"/>
  <c r="D953" i="37"/>
  <c r="C954" i="37"/>
  <c r="D954" i="37"/>
  <c r="C955" i="37"/>
  <c r="D955" i="37"/>
  <c r="H955" i="37"/>
  <c r="C956" i="37"/>
  <c r="D956" i="37"/>
  <c r="H956" i="37"/>
  <c r="C957" i="37"/>
  <c r="D957" i="37"/>
  <c r="C958" i="37"/>
  <c r="D958" i="37"/>
  <c r="G958" i="37"/>
  <c r="C959" i="37"/>
  <c r="H959" i="37"/>
  <c r="D959" i="37"/>
  <c r="C960" i="37"/>
  <c r="D960" i="37"/>
  <c r="H960" i="37"/>
  <c r="C961" i="37"/>
  <c r="D961" i="37"/>
  <c r="H961" i="37"/>
  <c r="C962" i="37"/>
  <c r="D962" i="37"/>
  <c r="C963" i="37"/>
  <c r="D963" i="37"/>
  <c r="C964" i="37"/>
  <c r="D964" i="37"/>
  <c r="C965" i="37"/>
  <c r="D965" i="37"/>
  <c r="H965" i="37"/>
  <c r="C966" i="37"/>
  <c r="H966" i="37"/>
  <c r="D966" i="37"/>
  <c r="C967" i="37"/>
  <c r="D967" i="37"/>
  <c r="H967" i="37"/>
  <c r="C968" i="37"/>
  <c r="D968" i="37"/>
  <c r="H968" i="37"/>
  <c r="C969" i="37"/>
  <c r="H969" i="37"/>
  <c r="D969" i="37"/>
  <c r="C970" i="37"/>
  <c r="D970" i="37"/>
  <c r="C971" i="37"/>
  <c r="D971" i="37"/>
  <c r="H971" i="37"/>
  <c r="C972" i="37"/>
  <c r="D972" i="37"/>
  <c r="H972" i="37"/>
  <c r="C973" i="37"/>
  <c r="H973" i="37"/>
  <c r="D973" i="37"/>
  <c r="C974" i="37"/>
  <c r="D974" i="37"/>
  <c r="C975" i="37"/>
  <c r="H975" i="37"/>
  <c r="D975" i="37"/>
  <c r="C976" i="37"/>
  <c r="D976" i="37"/>
  <c r="H976" i="37"/>
  <c r="C977" i="37"/>
  <c r="D977" i="37"/>
  <c r="H977" i="37"/>
  <c r="C978" i="37"/>
  <c r="H978" i="37"/>
  <c r="D978" i="37"/>
  <c r="C979" i="37"/>
  <c r="H979" i="37"/>
  <c r="D979" i="37"/>
  <c r="C980" i="37"/>
  <c r="D980" i="37"/>
  <c r="G980" i="37"/>
  <c r="H980" i="37"/>
  <c r="C981" i="37"/>
  <c r="D981" i="37"/>
  <c r="H981" i="37"/>
  <c r="C982" i="37"/>
  <c r="D982" i="37"/>
  <c r="C983" i="37"/>
  <c r="D983" i="37"/>
  <c r="H983" i="37"/>
  <c r="E173" i="3"/>
  <c r="E176" i="3"/>
  <c r="G225" i="3"/>
  <c r="H225" i="3"/>
  <c r="E225" i="3"/>
  <c r="B225" i="3"/>
  <c r="H273" i="3"/>
  <c r="I273" i="3"/>
  <c r="E273" i="3"/>
  <c r="B273" i="3"/>
  <c r="G274" i="3"/>
  <c r="E274" i="3"/>
  <c r="H274" i="3"/>
  <c r="G6" i="3"/>
  <c r="G7" i="3"/>
  <c r="U6" i="3"/>
  <c r="J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G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B87" i="37"/>
  <c r="B88" i="37"/>
  <c r="G88" i="37"/>
  <c r="B89" i="37"/>
  <c r="B90" i="37"/>
  <c r="G90" i="37"/>
  <c r="B91" i="37"/>
  <c r="G91" i="37"/>
  <c r="B92" i="37"/>
  <c r="G92" i="37"/>
  <c r="B93" i="37"/>
  <c r="B94" i="37"/>
  <c r="B95" i="37"/>
  <c r="G95" i="37"/>
  <c r="B96" i="37"/>
  <c r="G96" i="37"/>
  <c r="B97" i="37"/>
  <c r="G97" i="37"/>
  <c r="B98" i="37"/>
  <c r="G98" i="37"/>
  <c r="B99" i="37"/>
  <c r="G99" i="37"/>
  <c r="B100" i="37"/>
  <c r="G100" i="37"/>
  <c r="B101" i="37"/>
  <c r="G101" i="37"/>
  <c r="B102" i="37"/>
  <c r="B103" i="37"/>
  <c r="B104" i="37"/>
  <c r="B105" i="37"/>
  <c r="G105" i="37"/>
  <c r="B106" i="37"/>
  <c r="G106" i="37"/>
  <c r="B107" i="37"/>
  <c r="G107" i="37"/>
  <c r="B108" i="37"/>
  <c r="B109" i="37"/>
  <c r="G109" i="37"/>
  <c r="B110" i="37"/>
  <c r="G110" i="37"/>
  <c r="B111" i="37"/>
  <c r="G111" i="37"/>
  <c r="B112" i="37"/>
  <c r="G112" i="37"/>
  <c r="B113" i="37"/>
  <c r="B114" i="37"/>
  <c r="G114" i="37"/>
  <c r="B115" i="37"/>
  <c r="G115" i="37"/>
  <c r="B116" i="37"/>
  <c r="B117" i="37"/>
  <c r="G117" i="37"/>
  <c r="B118" i="37"/>
  <c r="G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G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B151" i="37"/>
  <c r="G151" i="37"/>
  <c r="B152" i="37"/>
  <c r="G152" i="37"/>
  <c r="B153" i="37"/>
  <c r="G153" i="37"/>
  <c r="B154" i="37"/>
  <c r="B155" i="37"/>
  <c r="B156" i="37"/>
  <c r="G156" i="37"/>
  <c r="B157" i="37"/>
  <c r="G157" i="37"/>
  <c r="B158" i="37"/>
  <c r="G158" i="37"/>
  <c r="B159" i="37"/>
  <c r="B160" i="37"/>
  <c r="B161" i="37"/>
  <c r="B162" i="37"/>
  <c r="G162" i="37"/>
  <c r="B163" i="37"/>
  <c r="B164" i="37"/>
  <c r="G164" i="37"/>
  <c r="B165" i="37"/>
  <c r="B166" i="37"/>
  <c r="G166" i="37"/>
  <c r="B167" i="37"/>
  <c r="G167" i="37"/>
  <c r="B168" i="37"/>
  <c r="B169" i="37"/>
  <c r="B170" i="37"/>
  <c r="B171" i="37"/>
  <c r="G171" i="37"/>
  <c r="B172" i="37"/>
  <c r="G172" i="37"/>
  <c r="B173" i="37"/>
  <c r="B174" i="37"/>
  <c r="G174" i="37"/>
  <c r="B175" i="37"/>
  <c r="G175" i="37"/>
  <c r="B176" i="37"/>
  <c r="G176" i="37"/>
  <c r="B177" i="37"/>
  <c r="B178" i="37"/>
  <c r="G178" i="37"/>
  <c r="B179" i="37"/>
  <c r="B180" i="37"/>
  <c r="G180" i="37"/>
  <c r="B181" i="37"/>
  <c r="B182" i="37"/>
  <c r="G182" i="37"/>
  <c r="B183" i="37"/>
  <c r="G183" i="37"/>
  <c r="B184" i="37"/>
  <c r="B185" i="37"/>
  <c r="G185" i="37"/>
  <c r="B186" i="37"/>
  <c r="G186" i="37"/>
  <c r="B187" i="37"/>
  <c r="G187" i="37"/>
  <c r="B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G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c r="B290" i="37"/>
  <c r="G290" i="37"/>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G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G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G362" i="37"/>
  <c r="B363" i="37"/>
  <c r="G363" i="37"/>
  <c r="B364" i="37"/>
  <c r="B365" i="37"/>
  <c r="G365" i="37"/>
  <c r="B366" i="37"/>
  <c r="G366" i="37"/>
  <c r="B367" i="37"/>
  <c r="G367" i="37"/>
  <c r="B368" i="37"/>
  <c r="G368" i="37"/>
  <c r="B369" i="37"/>
  <c r="G369" i="37"/>
  <c r="B370" i="37"/>
  <c r="G370" i="37"/>
  <c r="B371" i="37"/>
  <c r="G371" i="37"/>
  <c r="B372" i="37"/>
  <c r="G372" i="37"/>
  <c r="B373" i="37"/>
  <c r="B374" i="37"/>
  <c r="G374" i="37"/>
  <c r="B375" i="37"/>
  <c r="G375" i="37"/>
  <c r="B376" i="37"/>
  <c r="G376" i="37"/>
  <c r="B377" i="37"/>
  <c r="G377" i="37"/>
  <c r="B378" i="37"/>
  <c r="B379" i="37"/>
  <c r="G379" i="37"/>
  <c r="B380" i="37"/>
  <c r="G380" i="37"/>
  <c r="B381" i="37"/>
  <c r="G381" i="37"/>
  <c r="B382" i="37"/>
  <c r="G382" i="37"/>
  <c r="B383" i="37"/>
  <c r="B384" i="37"/>
  <c r="G384" i="37"/>
  <c r="B385" i="37"/>
  <c r="G385" i="37"/>
  <c r="B386" i="37"/>
  <c r="B387" i="37"/>
  <c r="G387" i="37"/>
  <c r="B388" i="37"/>
  <c r="G388" i="37"/>
  <c r="B389" i="37"/>
  <c r="G389" i="37"/>
  <c r="B390" i="37"/>
  <c r="G390" i="37"/>
  <c r="B391" i="37"/>
  <c r="B392" i="37"/>
  <c r="B393" i="37"/>
  <c r="G393" i="37"/>
  <c r="B394" i="37"/>
  <c r="G394" i="37"/>
  <c r="B395" i="37"/>
  <c r="G395" i="37"/>
  <c r="B396" i="37"/>
  <c r="G396" i="37"/>
  <c r="B397" i="37"/>
  <c r="B398" i="37"/>
  <c r="G398" i="37"/>
  <c r="B399" i="37"/>
  <c r="G399" i="37"/>
  <c r="B400" i="37"/>
  <c r="G400" i="37"/>
  <c r="B401" i="37"/>
  <c r="G401" i="37"/>
  <c r="B402" i="37"/>
  <c r="B403" i="37"/>
  <c r="B404" i="37"/>
  <c r="G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G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G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G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G557" i="37"/>
  <c r="B558" i="37"/>
  <c r="G558" i="37"/>
  <c r="B559" i="37"/>
  <c r="G559" i="37"/>
  <c r="B560" i="37"/>
  <c r="G560" i="37"/>
  <c r="B561" i="37"/>
  <c r="B562" i="37"/>
  <c r="B563" i="37"/>
  <c r="G563" i="37"/>
  <c r="B564" i="37"/>
  <c r="G564" i="37"/>
  <c r="B565" i="37"/>
  <c r="G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G579" i="37"/>
  <c r="B580" i="37"/>
  <c r="G580" i="37"/>
  <c r="B581" i="37"/>
  <c r="G581" i="37"/>
  <c r="B582" i="37"/>
  <c r="G582" i="37"/>
  <c r="B583" i="37"/>
  <c r="G583" i="37"/>
  <c r="B584" i="37"/>
  <c r="B585" i="37"/>
  <c r="G585" i="37"/>
  <c r="B586" i="37"/>
  <c r="G586" i="37"/>
  <c r="B587" i="37"/>
  <c r="B588" i="37"/>
  <c r="B589" i="37"/>
  <c r="G589" i="37"/>
  <c r="B590" i="37"/>
  <c r="G590" i="37"/>
  <c r="B591" i="37"/>
  <c r="G591" i="37"/>
  <c r="B592" i="37"/>
  <c r="G592" i="37"/>
  <c r="B593" i="37"/>
  <c r="G593" i="37"/>
  <c r="B594" i="37"/>
  <c r="G594" i="37"/>
  <c r="B595" i="37"/>
  <c r="G595" i="37"/>
  <c r="B596" i="37"/>
  <c r="G596" i="37"/>
  <c r="B597" i="37"/>
  <c r="G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G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G646" i="37"/>
  <c r="B647" i="37"/>
  <c r="B648" i="37"/>
  <c r="B649" i="37"/>
  <c r="B650" i="37"/>
  <c r="B651" i="37"/>
  <c r="G651" i="37"/>
  <c r="B652" i="37"/>
  <c r="B653" i="37"/>
  <c r="G653" i="37"/>
  <c r="B654" i="37"/>
  <c r="G654" i="37"/>
  <c r="B655" i="37"/>
  <c r="B656" i="37"/>
  <c r="G656" i="37"/>
  <c r="B657" i="37"/>
  <c r="G657" i="37"/>
  <c r="B658" i="37"/>
  <c r="B659" i="37"/>
  <c r="G659" i="37"/>
  <c r="B660" i="37"/>
  <c r="G660" i="37"/>
  <c r="B661" i="37"/>
  <c r="G661" i="37"/>
  <c r="B662" i="37"/>
  <c r="G662" i="37"/>
  <c r="B663" i="37"/>
  <c r="G663" i="37"/>
  <c r="B664" i="37"/>
  <c r="G664" i="37"/>
  <c r="B665" i="37"/>
  <c r="G665" i="37"/>
  <c r="B666" i="37"/>
  <c r="G666" i="37"/>
  <c r="B667" i="37"/>
  <c r="G667" i="37"/>
  <c r="B668" i="37"/>
  <c r="G668" i="37"/>
  <c r="B669" i="37"/>
  <c r="G669" i="37"/>
  <c r="B670" i="37"/>
  <c r="G670" i="37"/>
  <c r="B671" i="37"/>
  <c r="G671" i="37"/>
  <c r="B672" i="37"/>
  <c r="B673" i="37"/>
  <c r="G673" i="37"/>
  <c r="B674" i="37"/>
  <c r="B675" i="37"/>
  <c r="G675" i="37"/>
  <c r="B676" i="37"/>
  <c r="G676" i="37"/>
  <c r="B677" i="37"/>
  <c r="G677" i="37"/>
  <c r="B678" i="37"/>
  <c r="B679" i="37"/>
  <c r="G679" i="37"/>
  <c r="B680" i="37"/>
  <c r="B681" i="37"/>
  <c r="G681" i="37"/>
  <c r="B682" i="37"/>
  <c r="G682" i="37"/>
  <c r="B683" i="37"/>
  <c r="G683" i="37"/>
  <c r="B684" i="37"/>
  <c r="G684" i="37"/>
  <c r="B685" i="37"/>
  <c r="G685" i="37"/>
  <c r="B686" i="37"/>
  <c r="G686" i="37"/>
  <c r="B687" i="37"/>
  <c r="G687" i="37"/>
  <c r="B688" i="37"/>
  <c r="G688" i="37"/>
  <c r="B689" i="37"/>
  <c r="G689" i="37"/>
  <c r="B690" i="37"/>
  <c r="G690" i="37"/>
  <c r="B691" i="37"/>
  <c r="G691" i="37"/>
  <c r="B692" i="37"/>
  <c r="B693" i="37"/>
  <c r="G693" i="37"/>
  <c r="B694" i="37"/>
  <c r="B695" i="37"/>
  <c r="G695" i="37"/>
  <c r="B696" i="37"/>
  <c r="G696" i="37"/>
  <c r="B697" i="37"/>
  <c r="G697" i="37"/>
  <c r="B698" i="37"/>
  <c r="G698" i="37"/>
  <c r="B699" i="37"/>
  <c r="G699" i="37"/>
  <c r="B700" i="37"/>
  <c r="G700" i="37"/>
  <c r="B701" i="37"/>
  <c r="G701" i="37"/>
  <c r="B702" i="37"/>
  <c r="B703" i="37"/>
  <c r="G703" i="37"/>
  <c r="B704" i="37"/>
  <c r="G704" i="37"/>
  <c r="B705" i="37"/>
  <c r="G705" i="37"/>
  <c r="B706" i="37"/>
  <c r="G706" i="37"/>
  <c r="B707" i="37"/>
  <c r="G707" i="37"/>
  <c r="B708" i="37"/>
  <c r="G708" i="37"/>
  <c r="B709" i="37"/>
  <c r="G709" i="37"/>
  <c r="B710" i="37"/>
  <c r="B711" i="37"/>
  <c r="G711" i="37"/>
  <c r="B712" i="37"/>
  <c r="G712" i="37"/>
  <c r="B713" i="37"/>
  <c r="G713" i="37"/>
  <c r="B714" i="37"/>
  <c r="G714" i="37"/>
  <c r="B715" i="37"/>
  <c r="G715" i="37"/>
  <c r="B716" i="37"/>
  <c r="G716" i="37"/>
  <c r="B717" i="37"/>
  <c r="G717" i="37"/>
  <c r="B718" i="37"/>
  <c r="G718" i="37"/>
  <c r="B719" i="37"/>
  <c r="G719" i="37"/>
  <c r="B720" i="37"/>
  <c r="G720" i="37"/>
  <c r="B721" i="37"/>
  <c r="G721" i="37"/>
  <c r="B722" i="37"/>
  <c r="B723" i="37"/>
  <c r="G723" i="37"/>
  <c r="B724" i="37"/>
  <c r="G724" i="37"/>
  <c r="B725" i="37"/>
  <c r="G725" i="37"/>
  <c r="B726" i="37"/>
  <c r="G726" i="37"/>
  <c r="B727" i="37"/>
  <c r="G727" i="37"/>
  <c r="B728" i="37"/>
  <c r="B729" i="37"/>
  <c r="G729" i="37"/>
  <c r="B730" i="37"/>
  <c r="B731" i="37"/>
  <c r="G731" i="37"/>
  <c r="B732" i="37"/>
  <c r="B733" i="37"/>
  <c r="G733" i="37"/>
  <c r="B734" i="37"/>
  <c r="G734" i="37"/>
  <c r="B735" i="37"/>
  <c r="G735" i="37"/>
  <c r="B736" i="37"/>
  <c r="B737" i="37"/>
  <c r="G737" i="37"/>
  <c r="B738" i="37"/>
  <c r="G738" i="37"/>
  <c r="B739" i="37"/>
  <c r="G739" i="37"/>
  <c r="B740" i="37"/>
  <c r="G740" i="37"/>
  <c r="B741" i="37"/>
  <c r="G741" i="37"/>
  <c r="B742" i="37"/>
  <c r="B743" i="37"/>
  <c r="G743" i="37"/>
  <c r="B744" i="37"/>
  <c r="B745" i="37"/>
  <c r="G745" i="37"/>
  <c r="B746" i="37"/>
  <c r="G746" i="37"/>
  <c r="B747" i="37"/>
  <c r="G747" i="37"/>
  <c r="B748" i="37"/>
  <c r="G748" i="37"/>
  <c r="B749" i="37"/>
  <c r="G749" i="37"/>
  <c r="B750" i="37"/>
  <c r="G750" i="37"/>
  <c r="B751" i="37"/>
  <c r="G751" i="37"/>
  <c r="B752" i="37"/>
  <c r="B753" i="37"/>
  <c r="G753" i="37"/>
  <c r="B754" i="37"/>
  <c r="G754" i="37"/>
  <c r="B755" i="37"/>
  <c r="G755" i="37"/>
  <c r="B756" i="37"/>
  <c r="B757" i="37"/>
  <c r="G757" i="37"/>
  <c r="B758" i="37"/>
  <c r="B759" i="37"/>
  <c r="G759" i="37"/>
  <c r="B760" i="37"/>
  <c r="G760" i="37"/>
  <c r="B761" i="37"/>
  <c r="G761" i="37"/>
  <c r="B762" i="37"/>
  <c r="G762" i="37"/>
  <c r="B763" i="37"/>
  <c r="B764" i="37"/>
  <c r="G764" i="37"/>
  <c r="B765" i="37"/>
  <c r="G765" i="37"/>
  <c r="B766" i="37"/>
  <c r="B767" i="37"/>
  <c r="G767" i="37"/>
  <c r="B768" i="37"/>
  <c r="G768" i="37"/>
  <c r="B769" i="37"/>
  <c r="B770" i="37"/>
  <c r="B771" i="37"/>
  <c r="G771" i="37"/>
  <c r="B772" i="37"/>
  <c r="G772" i="37"/>
  <c r="B773" i="37"/>
  <c r="G773" i="37"/>
  <c r="B774" i="37"/>
  <c r="B775" i="37"/>
  <c r="G775" i="37"/>
  <c r="B776" i="37"/>
  <c r="G776" i="37"/>
  <c r="B777" i="37"/>
  <c r="G777" i="37"/>
  <c r="B778" i="37"/>
  <c r="G778" i="37"/>
  <c r="B779" i="37"/>
  <c r="G779" i="37"/>
  <c r="B780" i="37"/>
  <c r="G780" i="37"/>
  <c r="B781" i="37"/>
  <c r="G781" i="37"/>
  <c r="B782" i="37"/>
  <c r="B783" i="37"/>
  <c r="G783" i="37"/>
  <c r="B784" i="37"/>
  <c r="G784" i="37"/>
  <c r="B785" i="37"/>
  <c r="G785" i="37"/>
  <c r="B786" i="37"/>
  <c r="G786" i="37"/>
  <c r="B787" i="37"/>
  <c r="G787" i="37"/>
  <c r="B788" i="37"/>
  <c r="G788" i="37"/>
  <c r="B789" i="37"/>
  <c r="G789" i="37"/>
  <c r="B790" i="37"/>
  <c r="G790" i="37"/>
  <c r="B791" i="37"/>
  <c r="G791" i="37"/>
  <c r="B792" i="37"/>
  <c r="B793" i="37"/>
  <c r="G793" i="37"/>
  <c r="B794" i="37"/>
  <c r="B795" i="37"/>
  <c r="G795" i="37"/>
  <c r="B796" i="37"/>
  <c r="B797" i="37"/>
  <c r="G797" i="37"/>
  <c r="B798" i="37"/>
  <c r="G798" i="37"/>
  <c r="B799" i="37"/>
  <c r="G799" i="37"/>
  <c r="B800" i="37"/>
  <c r="G800" i="37"/>
  <c r="B801" i="37"/>
  <c r="G801" i="37"/>
  <c r="B802" i="37"/>
  <c r="G802" i="37"/>
  <c r="B803" i="37"/>
  <c r="G803" i="37"/>
  <c r="B804" i="37"/>
  <c r="G804" i="37"/>
  <c r="B805" i="37"/>
  <c r="G805" i="37"/>
  <c r="B806" i="37"/>
  <c r="G806" i="37"/>
  <c r="B807" i="37"/>
  <c r="G807" i="37"/>
  <c r="B808" i="37"/>
  <c r="G808" i="37"/>
  <c r="B809" i="37"/>
  <c r="B810" i="37"/>
  <c r="G810" i="37"/>
  <c r="B811" i="37"/>
  <c r="B812" i="37"/>
  <c r="B813" i="37"/>
  <c r="G813" i="37"/>
  <c r="B814" i="37"/>
  <c r="G814" i="37"/>
  <c r="B815" i="37"/>
  <c r="G815" i="37"/>
  <c r="B816" i="37"/>
  <c r="B817" i="37"/>
  <c r="G817" i="37"/>
  <c r="B818" i="37"/>
  <c r="B819" i="37"/>
  <c r="G819" i="37"/>
  <c r="B820" i="37"/>
  <c r="B821" i="37"/>
  <c r="B822" i="37"/>
  <c r="G822" i="37"/>
  <c r="B823" i="37"/>
  <c r="G823" i="37"/>
  <c r="B824" i="37"/>
  <c r="G824" i="37"/>
  <c r="B825" i="37"/>
  <c r="G825" i="37"/>
  <c r="B826" i="37"/>
  <c r="B827" i="37"/>
  <c r="G827" i="37"/>
  <c r="B828" i="37"/>
  <c r="G828" i="37"/>
  <c r="B829" i="37"/>
  <c r="B830" i="37"/>
  <c r="B831" i="37"/>
  <c r="B832" i="37"/>
  <c r="B833" i="37"/>
  <c r="G833" i="37"/>
  <c r="B834" i="37"/>
  <c r="G834" i="37"/>
  <c r="B835" i="37"/>
  <c r="G835" i="37"/>
  <c r="B836" i="37"/>
  <c r="B837" i="37"/>
  <c r="G837" i="37"/>
  <c r="B838" i="37"/>
  <c r="G838" i="37"/>
  <c r="B839" i="37"/>
  <c r="G839" i="37"/>
  <c r="B840" i="37"/>
  <c r="G840" i="37"/>
  <c r="B841" i="37"/>
  <c r="G841" i="37"/>
  <c r="B842" i="37"/>
  <c r="B843" i="37"/>
  <c r="G843" i="37"/>
  <c r="B844" i="37"/>
  <c r="G844" i="37"/>
  <c r="B845" i="37"/>
  <c r="G845" i="37"/>
  <c r="B846" i="37"/>
  <c r="G846" i="37"/>
  <c r="B847" i="37"/>
  <c r="G847" i="37"/>
  <c r="B848" i="37"/>
  <c r="G848" i="37"/>
  <c r="B849" i="37"/>
  <c r="G849" i="37"/>
  <c r="B850" i="37"/>
  <c r="G850" i="37"/>
  <c r="B851" i="37"/>
  <c r="G851" i="37"/>
  <c r="B852" i="37"/>
  <c r="B853" i="37"/>
  <c r="G853" i="37"/>
  <c r="B854" i="37"/>
  <c r="B855" i="37"/>
  <c r="G855" i="37"/>
  <c r="B856" i="37"/>
  <c r="G856" i="37"/>
  <c r="B857" i="37"/>
  <c r="G857" i="37"/>
  <c r="B858" i="37"/>
  <c r="B859" i="37"/>
  <c r="G859" i="37"/>
  <c r="B860" i="37"/>
  <c r="G860" i="37"/>
  <c r="B861" i="37"/>
  <c r="G861" i="37"/>
  <c r="B862" i="37"/>
  <c r="G862" i="37"/>
  <c r="B863" i="37"/>
  <c r="G863" i="37"/>
  <c r="B864" i="37"/>
  <c r="G864" i="37"/>
  <c r="B865" i="37"/>
  <c r="G865" i="37"/>
  <c r="B866" i="37"/>
  <c r="G866" i="37"/>
  <c r="B867" i="37"/>
  <c r="G867" i="37"/>
  <c r="B868" i="37"/>
  <c r="G868" i="37"/>
  <c r="B869" i="37"/>
  <c r="G869" i="37"/>
  <c r="B870" i="37"/>
  <c r="B871" i="37"/>
  <c r="G871" i="37"/>
  <c r="B872" i="37"/>
  <c r="G872" i="37"/>
  <c r="B873" i="37"/>
  <c r="G873" i="37"/>
  <c r="B874" i="37"/>
  <c r="G874" i="37"/>
  <c r="B875" i="37"/>
  <c r="G875" i="37"/>
  <c r="B876" i="37"/>
  <c r="G876" i="37"/>
  <c r="B877" i="37"/>
  <c r="G877" i="37"/>
  <c r="B878" i="37"/>
  <c r="B879" i="37"/>
  <c r="G879" i="37"/>
  <c r="B880" i="37"/>
  <c r="B881" i="37"/>
  <c r="G881" i="37"/>
  <c r="B882" i="37"/>
  <c r="G882" i="37"/>
  <c r="B883" i="37"/>
  <c r="G883" i="37"/>
  <c r="B884" i="37"/>
  <c r="G884" i="37"/>
  <c r="B885" i="37"/>
  <c r="G885" i="37"/>
  <c r="B886" i="37"/>
  <c r="G886" i="37"/>
  <c r="B887" i="37"/>
  <c r="G887" i="37"/>
  <c r="B888" i="37"/>
  <c r="G888" i="37"/>
  <c r="B889" i="37"/>
  <c r="G889" i="37"/>
  <c r="B890" i="37"/>
  <c r="B891" i="37"/>
  <c r="G891" i="37"/>
  <c r="B892" i="37"/>
  <c r="G892" i="37"/>
  <c r="B893" i="37"/>
  <c r="G893" i="37"/>
  <c r="B894" i="37"/>
  <c r="B895" i="37"/>
  <c r="G895" i="37"/>
  <c r="B896" i="37"/>
  <c r="B897" i="37"/>
  <c r="G897" i="37"/>
  <c r="B898" i="37"/>
  <c r="G898" i="37"/>
  <c r="B899" i="37"/>
  <c r="G899" i="37"/>
  <c r="B900" i="37"/>
  <c r="B901" i="37"/>
  <c r="G901" i="37"/>
  <c r="B902" i="37"/>
  <c r="G902" i="37"/>
  <c r="B903" i="37"/>
  <c r="G903" i="37"/>
  <c r="B904" i="37"/>
  <c r="G904" i="37"/>
  <c r="B905" i="37"/>
  <c r="G905" i="37"/>
  <c r="B906" i="37"/>
  <c r="B907" i="37"/>
  <c r="G907" i="37"/>
  <c r="B908" i="37"/>
  <c r="G908" i="37"/>
  <c r="B909" i="37"/>
  <c r="G909" i="37"/>
  <c r="B910" i="37"/>
  <c r="G910" i="37"/>
  <c r="B911" i="37"/>
  <c r="G911" i="37"/>
  <c r="B912" i="37"/>
  <c r="G912" i="37"/>
  <c r="B913" i="37"/>
  <c r="G913" i="37"/>
  <c r="B914" i="37"/>
  <c r="G914" i="37"/>
  <c r="B915" i="37"/>
  <c r="B916" i="37"/>
  <c r="B917" i="37"/>
  <c r="G917" i="37"/>
  <c r="B918" i="37"/>
  <c r="B919" i="37"/>
  <c r="G919" i="37"/>
  <c r="B920" i="37"/>
  <c r="G920" i="37"/>
  <c r="B921" i="37"/>
  <c r="B922" i="37"/>
  <c r="B923" i="37"/>
  <c r="G923" i="37"/>
  <c r="B924" i="37"/>
  <c r="G924" i="37"/>
  <c r="B925" i="37"/>
  <c r="G925" i="37"/>
  <c r="B926" i="37"/>
  <c r="G926" i="37"/>
  <c r="B927" i="37"/>
  <c r="G927" i="37"/>
  <c r="B928" i="37"/>
  <c r="G928" i="37"/>
  <c r="B929" i="37"/>
  <c r="G929" i="37"/>
  <c r="B930" i="37"/>
  <c r="G930" i="37"/>
  <c r="B931" i="37"/>
  <c r="B932" i="37"/>
  <c r="G932" i="37"/>
  <c r="B933" i="37"/>
  <c r="G933" i="37"/>
  <c r="B934" i="37"/>
  <c r="B935" i="37"/>
  <c r="G935" i="37"/>
  <c r="B936" i="37"/>
  <c r="G936" i="37"/>
  <c r="B937" i="37"/>
  <c r="G937" i="37"/>
  <c r="B938" i="37"/>
  <c r="G938" i="37"/>
  <c r="B939" i="37"/>
  <c r="G939" i="37"/>
  <c r="B940" i="37"/>
  <c r="G940" i="37"/>
  <c r="B941" i="37"/>
  <c r="G941" i="37"/>
  <c r="B942" i="37"/>
  <c r="B943" i="37"/>
  <c r="G943" i="37"/>
  <c r="B944" i="37"/>
  <c r="B945" i="37"/>
  <c r="G945" i="37"/>
  <c r="B946" i="37"/>
  <c r="G946" i="37"/>
  <c r="B947" i="37"/>
  <c r="G947" i="37"/>
  <c r="B948" i="37"/>
  <c r="G948" i="37"/>
  <c r="B949" i="37"/>
  <c r="G949" i="37"/>
  <c r="B950" i="37"/>
  <c r="G950" i="37"/>
  <c r="B951" i="37"/>
  <c r="G951" i="37"/>
  <c r="B952" i="37"/>
  <c r="G952" i="37"/>
  <c r="B953" i="37"/>
  <c r="G953" i="37"/>
  <c r="B954" i="37"/>
  <c r="B955" i="37"/>
  <c r="G955" i="37"/>
  <c r="B956" i="37"/>
  <c r="G956" i="37"/>
  <c r="B957" i="37"/>
  <c r="B958" i="37"/>
  <c r="B959" i="37"/>
  <c r="B960" i="37"/>
  <c r="B961" i="37"/>
  <c r="G961" i="37"/>
  <c r="B962" i="37"/>
  <c r="G962" i="37"/>
  <c r="B963" i="37"/>
  <c r="G963" i="37"/>
  <c r="B964" i="37"/>
  <c r="B965" i="37"/>
  <c r="G965" i="37"/>
  <c r="B966" i="37"/>
  <c r="G966" i="37"/>
  <c r="B967" i="37"/>
  <c r="G967" i="37"/>
  <c r="B968" i="37"/>
  <c r="G968" i="37"/>
  <c r="B969" i="37"/>
  <c r="G969" i="37"/>
  <c r="B970" i="37"/>
  <c r="B971" i="37"/>
  <c r="G971" i="37"/>
  <c r="B972" i="37"/>
  <c r="G972" i="37"/>
  <c r="B973" i="37"/>
  <c r="G973" i="37"/>
  <c r="B974" i="37"/>
  <c r="G974" i="37"/>
  <c r="B975" i="37"/>
  <c r="G975" i="37"/>
  <c r="B976" i="37"/>
  <c r="G976" i="37"/>
  <c r="B977" i="37"/>
  <c r="G977" i="37"/>
  <c r="B978" i="37"/>
  <c r="G978" i="37"/>
  <c r="B979" i="37"/>
  <c r="G979" i="37"/>
  <c r="B980" i="37"/>
  <c r="B981" i="37"/>
  <c r="G981" i="37"/>
  <c r="B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G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G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G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G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G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G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G1219" i="37"/>
  <c r="B1220" i="37"/>
  <c r="G1220" i="37"/>
  <c r="B1221" i="37"/>
  <c r="G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D1242" i="37"/>
  <c r="G1242" i="37"/>
  <c r="B1243" i="37"/>
  <c r="C1243" i="37"/>
  <c r="D1243" i="37"/>
  <c r="G1243" i="37"/>
  <c r="B1244" i="37"/>
  <c r="C1244" i="37"/>
  <c r="D1244" i="37"/>
  <c r="B1245" i="37"/>
  <c r="C1245" i="37"/>
  <c r="D1245" i="37"/>
  <c r="G1245" i="37"/>
  <c r="B1246" i="37"/>
  <c r="C1246" i="37"/>
  <c r="D1246" i="37"/>
  <c r="G1246" i="37"/>
  <c r="B1247" i="37"/>
  <c r="C1247" i="37"/>
  <c r="D1247" i="37"/>
  <c r="G1247" i="37"/>
  <c r="B1248" i="37"/>
  <c r="C1248" i="37"/>
  <c r="D1248" i="37"/>
  <c r="B1249" i="37"/>
  <c r="C1249" i="37"/>
  <c r="D1249" i="37"/>
  <c r="B1250" i="37"/>
  <c r="C1250" i="37"/>
  <c r="D1250" i="37"/>
  <c r="G1250" i="37"/>
  <c r="B1251" i="37"/>
  <c r="C1251" i="37"/>
  <c r="D1251" i="37"/>
  <c r="G1251" i="37"/>
  <c r="B1252" i="37"/>
  <c r="C1252" i="37"/>
  <c r="D1252" i="37"/>
  <c r="B1253" i="37"/>
  <c r="C1253" i="37"/>
  <c r="D1253" i="37"/>
  <c r="G1253" i="37"/>
  <c r="B1254" i="37"/>
  <c r="C1254" i="37"/>
  <c r="D1254" i="37"/>
  <c r="G1254" i="37"/>
  <c r="B1255" i="37"/>
  <c r="C1255" i="37"/>
  <c r="D1255" i="37"/>
  <c r="G1255" i="37"/>
  <c r="B1256" i="37"/>
  <c r="C1256" i="37"/>
  <c r="D1256" i="37"/>
  <c r="B1257" i="37"/>
  <c r="C1257" i="37"/>
  <c r="D1257" i="37"/>
  <c r="B1258" i="37"/>
  <c r="C1258" i="37"/>
  <c r="D1258" i="37"/>
  <c r="G1258" i="37"/>
  <c r="B1259" i="37"/>
  <c r="C1259" i="37"/>
  <c r="D1259" i="37"/>
  <c r="G1259" i="37"/>
  <c r="B1260" i="37"/>
  <c r="C1260" i="37"/>
  <c r="D1260" i="37"/>
  <c r="B1261" i="37"/>
  <c r="C1261" i="37"/>
  <c r="D1261" i="37"/>
  <c r="G1261" i="37"/>
  <c r="B1262" i="37"/>
  <c r="C1262" i="37"/>
  <c r="D1262" i="37"/>
  <c r="G1262" i="37"/>
  <c r="B1263" i="37"/>
  <c r="C1263" i="37"/>
  <c r="D1263" i="37"/>
  <c r="G1263" i="37"/>
  <c r="B1264" i="37"/>
  <c r="C1264" i="37"/>
  <c r="D1264" i="37"/>
  <c r="B1265" i="37"/>
  <c r="C1265" i="37"/>
  <c r="D1265" i="37"/>
  <c r="B1266" i="37"/>
  <c r="C1266" i="37"/>
  <c r="D1266" i="37"/>
  <c r="G1266" i="37"/>
  <c r="B1267" i="37"/>
  <c r="C1267" i="37"/>
  <c r="D1267" i="37"/>
  <c r="G1267" i="37"/>
  <c r="B1268" i="37"/>
  <c r="C1268" i="37"/>
  <c r="D1268" i="37"/>
  <c r="B1269" i="37"/>
  <c r="C1269" i="37"/>
  <c r="D1269" i="37"/>
  <c r="G1269" i="37"/>
  <c r="B1270" i="37"/>
  <c r="C1270" i="37"/>
  <c r="D1270" i="37"/>
  <c r="G1270" i="37"/>
  <c r="B1271" i="37"/>
  <c r="C1271" i="37"/>
  <c r="D1271" i="37"/>
  <c r="G1271" i="37"/>
  <c r="B1272" i="37"/>
  <c r="C1272" i="37"/>
  <c r="D1272" i="37"/>
  <c r="B1273" i="37"/>
  <c r="C1273" i="37"/>
  <c r="D1273" i="37"/>
  <c r="B1274" i="37"/>
  <c r="C1274" i="37"/>
  <c r="D1274" i="37"/>
  <c r="G1274" i="37"/>
  <c r="B1275" i="37"/>
  <c r="C1275" i="37"/>
  <c r="D1275" i="37"/>
  <c r="G1275" i="37"/>
  <c r="B1276" i="37"/>
  <c r="C1276" i="37"/>
  <c r="D1276" i="37"/>
  <c r="B1277" i="37"/>
  <c r="C1277" i="37"/>
  <c r="D1277" i="37"/>
  <c r="G1277" i="37"/>
  <c r="B1278" i="37"/>
  <c r="C1278" i="37"/>
  <c r="D1278" i="37"/>
  <c r="G1278" i="37"/>
  <c r="B1279" i="37"/>
  <c r="C1279" i="37"/>
  <c r="D1279" i="37"/>
  <c r="G1279" i="37"/>
  <c r="B1280" i="37"/>
  <c r="C1280" i="37"/>
  <c r="D1280" i="37"/>
  <c r="B1281" i="37"/>
  <c r="C1281" i="37"/>
  <c r="D1281" i="37"/>
  <c r="B1282" i="37"/>
  <c r="C1282" i="37"/>
  <c r="D1282" i="37"/>
  <c r="G1282" i="37"/>
  <c r="B1283" i="37"/>
  <c r="C1283" i="37"/>
  <c r="D1283" i="37"/>
  <c r="G1283" i="37"/>
  <c r="B1284" i="37"/>
  <c r="C1284" i="37"/>
  <c r="D1284" i="37"/>
  <c r="B1285" i="37"/>
  <c r="C1285" i="37"/>
  <c r="D1285" i="37"/>
  <c r="G1285" i="37"/>
  <c r="B1286" i="37"/>
  <c r="C1286" i="37"/>
  <c r="D1286" i="37"/>
  <c r="G1286" i="37"/>
  <c r="B1287" i="37"/>
  <c r="C1287" i="37"/>
  <c r="D1287" i="37"/>
  <c r="G1287" i="37"/>
  <c r="B1288" i="37"/>
  <c r="C1288" i="37"/>
  <c r="D1288" i="37"/>
  <c r="B1289" i="37"/>
  <c r="C1289" i="37"/>
  <c r="D1289" i="37"/>
  <c r="B1290" i="37"/>
  <c r="C1290" i="37"/>
  <c r="D1290" i="37"/>
  <c r="G1290" i="37"/>
  <c r="B1291" i="37"/>
  <c r="C1291" i="37"/>
  <c r="D1291" i="37"/>
  <c r="G1291" i="37"/>
  <c r="B1292" i="37"/>
  <c r="C1292" i="37"/>
  <c r="D1292" i="37"/>
  <c r="B1293" i="37"/>
  <c r="C1293" i="37"/>
  <c r="D1293" i="37"/>
  <c r="G1293" i="37"/>
  <c r="B1294" i="37"/>
  <c r="C1294" i="37"/>
  <c r="D1294" i="37"/>
  <c r="G1294" i="37"/>
  <c r="B1295" i="37"/>
  <c r="C1295" i="37"/>
  <c r="D1295" i="37"/>
  <c r="G1295" i="37"/>
  <c r="B1296" i="37"/>
  <c r="C1296" i="37"/>
  <c r="D1296" i="37"/>
  <c r="B1297" i="37"/>
  <c r="C1297" i="37"/>
  <c r="D1297" i="37"/>
  <c r="B1298" i="37"/>
  <c r="C1298" i="37"/>
  <c r="D1298" i="37"/>
  <c r="G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D1439" i="37"/>
  <c r="B1440" i="37"/>
  <c r="C1440" i="37"/>
  <c r="D1440" i="37"/>
  <c r="G1440" i="37"/>
  <c r="B1441" i="37"/>
  <c r="C1441" i="37"/>
  <c r="D1441" i="37"/>
  <c r="G1441" i="37"/>
  <c r="B1442" i="37"/>
  <c r="C1442" i="37"/>
  <c r="D1442" i="37"/>
  <c r="G1442" i="37"/>
  <c r="B1443" i="37"/>
  <c r="C1443" i="37"/>
  <c r="D1443" i="37"/>
  <c r="H1443" i="37"/>
  <c r="B1444" i="37"/>
  <c r="C1444" i="37"/>
  <c r="D1444" i="37"/>
  <c r="G1444" i="37"/>
  <c r="B1445" i="37"/>
  <c r="B1446" i="37"/>
  <c r="C1446" i="37"/>
  <c r="H1446" i="37"/>
  <c r="D1446" i="37"/>
  <c r="G1446" i="37"/>
  <c r="B1447" i="37"/>
  <c r="C1447" i="37"/>
  <c r="D1447" i="37"/>
  <c r="H1447" i="37"/>
  <c r="G1447" i="37"/>
  <c r="B1448" i="37"/>
  <c r="C1448" i="37"/>
  <c r="D1448" i="37"/>
  <c r="G1448" i="37"/>
  <c r="B1449" i="37"/>
  <c r="C1449" i="37"/>
  <c r="D1449" i="37"/>
  <c r="G1449" i="37"/>
  <c r="B1450" i="37"/>
  <c r="C1450" i="37"/>
  <c r="H1450" i="37"/>
  <c r="D1450" i="37"/>
  <c r="G1450" i="37"/>
  <c r="B1451" i="37"/>
  <c r="C1451" i="37"/>
  <c r="D1451" i="37"/>
  <c r="H1451" i="37"/>
  <c r="G1451" i="37"/>
  <c r="B1452" i="37"/>
  <c r="C1452" i="37"/>
  <c r="D1452" i="37"/>
  <c r="G1452" i="37"/>
  <c r="B1453" i="37"/>
  <c r="B1454" i="37"/>
  <c r="B1455" i="37"/>
  <c r="C1455" i="37"/>
  <c r="D1455" i="37"/>
  <c r="H1455" i="37"/>
  <c r="G1455" i="37"/>
  <c r="B1456" i="37"/>
  <c r="C1456" i="37"/>
  <c r="D1456" i="37"/>
  <c r="G1456" i="37"/>
  <c r="B1457" i="37"/>
  <c r="C1457" i="37"/>
  <c r="D1457" i="37"/>
  <c r="G1457" i="37"/>
  <c r="B1458" i="37"/>
  <c r="C1458" i="37"/>
  <c r="H1458" i="37"/>
  <c r="D1458" i="37"/>
  <c r="G1458" i="37"/>
  <c r="B1459" i="37"/>
  <c r="C1459" i="37"/>
  <c r="D1459" i="37"/>
  <c r="H1459" i="37"/>
  <c r="G1459" i="37"/>
  <c r="B1460" i="37"/>
  <c r="C1460" i="37"/>
  <c r="D1460" i="37"/>
  <c r="G1460" i="37"/>
  <c r="B1461" i="37"/>
  <c r="D1461" i="37"/>
  <c r="B1462" i="37"/>
  <c r="C1462" i="37"/>
  <c r="D1462" i="37"/>
  <c r="G1462" i="37"/>
  <c r="B1463" i="37"/>
  <c r="C1463" i="37"/>
  <c r="D1463" i="37"/>
  <c r="H1463" i="37"/>
  <c r="B1464" i="37"/>
  <c r="C1464" i="37"/>
  <c r="D1464" i="37"/>
  <c r="G1464" i="37"/>
  <c r="B1465" i="37"/>
  <c r="C1465" i="37"/>
  <c r="D1465" i="37"/>
  <c r="G1465" i="37"/>
  <c r="B1466" i="37"/>
  <c r="C1466" i="37"/>
  <c r="D1466" i="37"/>
  <c r="G1466" i="37"/>
  <c r="B1467" i="37"/>
  <c r="C1467" i="37"/>
  <c r="D1467" i="37"/>
  <c r="H1467" i="37"/>
  <c r="B1468" i="37"/>
  <c r="C1468" i="37"/>
  <c r="D1468" i="37"/>
  <c r="G1468" i="37"/>
  <c r="B1469" i="37"/>
  <c r="B1470" i="37"/>
  <c r="B1471" i="37"/>
  <c r="C1471" i="37"/>
  <c r="D1471" i="37"/>
  <c r="B1472" i="37"/>
  <c r="C1472" i="37"/>
  <c r="D1472" i="37"/>
  <c r="G1472" i="37"/>
  <c r="B1473" i="37"/>
  <c r="C1473" i="37"/>
  <c r="D1473" i="37"/>
  <c r="G1473" i="37"/>
  <c r="B1474" i="37"/>
  <c r="C1474" i="37"/>
  <c r="H1474" i="37"/>
  <c r="D1474" i="37"/>
  <c r="G1474" i="37"/>
  <c r="B1475" i="37"/>
  <c r="B1476" i="37"/>
  <c r="C1476" i="37"/>
  <c r="D1476" i="37"/>
  <c r="G1476" i="37"/>
  <c r="B1477" i="37"/>
  <c r="C1477" i="37"/>
  <c r="D1477" i="37"/>
  <c r="G1477" i="37"/>
  <c r="B1478" i="37"/>
  <c r="C1478" i="37"/>
  <c r="H1478" i="37"/>
  <c r="D1478" i="37"/>
  <c r="G1478" i="37"/>
  <c r="B1479" i="37"/>
  <c r="C1479" i="37"/>
  <c r="D1479" i="37"/>
  <c r="H1479" i="37"/>
  <c r="G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G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G1511" i="37"/>
  <c r="B1512" i="37"/>
  <c r="G1512" i="37"/>
  <c r="B1513" i="37"/>
  <c r="G1513" i="37"/>
  <c r="B1514" i="37"/>
  <c r="G1514" i="37"/>
  <c r="B1515" i="37"/>
  <c r="G1515" i="37"/>
  <c r="B1516" i="37"/>
  <c r="G1516" i="37"/>
  <c r="B1517" i="37"/>
  <c r="B1518" i="37"/>
  <c r="B1519" i="37"/>
  <c r="B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G1535" i="37"/>
  <c r="B1536" i="37"/>
  <c r="G1536" i="37"/>
  <c r="B1537" i="37"/>
  <c r="G1537" i="37"/>
  <c r="B1538" i="37"/>
  <c r="G1538" i="37"/>
  <c r="B1539" i="37"/>
  <c r="G1539" i="37"/>
  <c r="B1540" i="37"/>
  <c r="B1541" i="37"/>
  <c r="G1541" i="37"/>
  <c r="B1542" i="37"/>
  <c r="G1542" i="37"/>
  <c r="B1543" i="37"/>
  <c r="G1543" i="37"/>
  <c r="B1544" i="37"/>
  <c r="G1544" i="37"/>
  <c r="B1545" i="37"/>
  <c r="G1545" i="37"/>
  <c r="B1546" i="37"/>
  <c r="G1546" i="37"/>
  <c r="B1547" i="37"/>
  <c r="G1547" i="37"/>
  <c r="B1548" i="37"/>
  <c r="G1548" i="37"/>
  <c r="B1549" i="37"/>
  <c r="G1549" i="37"/>
  <c r="B1550" i="37"/>
  <c r="B1551" i="37"/>
  <c r="G1551" i="37"/>
  <c r="B1552" i="37"/>
  <c r="G1552" i="37"/>
  <c r="B1553" i="37"/>
  <c r="G1553" i="37"/>
  <c r="B1554" i="37"/>
  <c r="G1554" i="37"/>
  <c r="B1555" i="37"/>
  <c r="G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G1571" i="37"/>
  <c r="C1571" i="37"/>
  <c r="B1572" i="37"/>
  <c r="G1572" i="37"/>
  <c r="C1572" i="37"/>
  <c r="B1573" i="37"/>
  <c r="C1573" i="37"/>
  <c r="G1573" i="37"/>
  <c r="B1574" i="37"/>
  <c r="C1574" i="37"/>
  <c r="H1574" i="37"/>
  <c r="G1574" i="37"/>
  <c r="B1575" i="37"/>
  <c r="G1575" i="37"/>
  <c r="C1575" i="37"/>
  <c r="B1576" i="37"/>
  <c r="B1577" i="37"/>
  <c r="C1577" i="37"/>
  <c r="G1577" i="37"/>
  <c r="B1578" i="37"/>
  <c r="C1578" i="37"/>
  <c r="H1578" i="37"/>
  <c r="B1579" i="37"/>
  <c r="G1579" i="37"/>
  <c r="C1579" i="37"/>
  <c r="B1580" i="37"/>
  <c r="C1580" i="37"/>
  <c r="I14" i="3"/>
  <c r="G280" i="3"/>
  <c r="H280" i="3"/>
  <c r="E280" i="3"/>
  <c r="B280" i="3"/>
  <c r="G281" i="3"/>
  <c r="H281" i="3"/>
  <c r="E281" i="3"/>
  <c r="H986" i="37"/>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7"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7" i="37"/>
  <c r="H1098" i="37"/>
  <c r="H1099" i="37"/>
  <c r="H1100" i="37"/>
  <c r="H1101" i="37"/>
  <c r="H1102" i="37"/>
  <c r="H1103" i="37"/>
  <c r="H1105" i="37"/>
  <c r="H1106" i="37"/>
  <c r="H1107" i="37"/>
  <c r="H1108" i="37"/>
  <c r="H1109" i="37"/>
  <c r="H1110" i="37"/>
  <c r="H1111" i="37"/>
  <c r="H1113"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5" i="37"/>
  <c r="H1246" i="37"/>
  <c r="H1250" i="37"/>
  <c r="H1253" i="37"/>
  <c r="H1254" i="37"/>
  <c r="H1258" i="37"/>
  <c r="H1261" i="37"/>
  <c r="H1262" i="37"/>
  <c r="H1266" i="37"/>
  <c r="H1269" i="37"/>
  <c r="H1270" i="37"/>
  <c r="H1274" i="37"/>
  <c r="H1277" i="37"/>
  <c r="H1278" i="37"/>
  <c r="H1282" i="37"/>
  <c r="H1285" i="37"/>
  <c r="H1286" i="37"/>
  <c r="H1290" i="37"/>
  <c r="H1293" i="37"/>
  <c r="H1294" i="37"/>
  <c r="H1298" i="37"/>
  <c r="G284" i="3"/>
  <c r="H284" i="3"/>
  <c r="G285" i="3"/>
  <c r="H285" i="3"/>
  <c r="E285" i="3"/>
  <c r="B285" i="3"/>
  <c r="G286" i="3"/>
  <c r="H286" i="3"/>
  <c r="E286" i="3"/>
  <c r="B286" i="3"/>
  <c r="H289" i="3"/>
  <c r="G291" i="3"/>
  <c r="H291" i="3"/>
  <c r="E291" i="3"/>
  <c r="B291" i="3"/>
  <c r="H1480" i="37"/>
  <c r="H1482" i="37"/>
  <c r="H1484" i="37"/>
  <c r="H1485" i="37"/>
  <c r="H1486" i="37"/>
  <c r="H1487" i="37"/>
  <c r="H1488" i="37"/>
  <c r="H1489" i="37"/>
  <c r="H1490" i="37"/>
  <c r="H1491" i="37"/>
  <c r="H1492" i="37"/>
  <c r="H1493" i="37"/>
  <c r="H1494" i="37"/>
  <c r="H1495" i="37"/>
  <c r="H1496" i="37"/>
  <c r="H1497" i="37"/>
  <c r="H1498" i="37"/>
  <c r="H1500" i="37"/>
  <c r="H1502" i="37"/>
  <c r="H1503" i="37"/>
  <c r="H1504" i="37"/>
  <c r="H1505" i="37"/>
  <c r="H1506" i="37"/>
  <c r="H1507" i="37"/>
  <c r="H1508" i="37"/>
  <c r="H1509" i="37"/>
  <c r="H1510" i="37"/>
  <c r="H1512" i="37"/>
  <c r="H1513" i="37"/>
  <c r="H1514" i="37"/>
  <c r="H1515" i="37"/>
  <c r="H1516" i="37"/>
  <c r="H1521" i="37"/>
  <c r="H1522" i="37"/>
  <c r="H1523" i="37"/>
  <c r="H1526" i="37"/>
  <c r="H1527" i="37"/>
  <c r="H1528" i="37"/>
  <c r="H1529" i="37"/>
  <c r="H1531" i="37"/>
  <c r="H1532" i="37"/>
  <c r="H1533" i="37"/>
  <c r="H1534" i="37"/>
  <c r="H1535" i="37"/>
  <c r="H1536" i="37"/>
  <c r="H1537" i="37"/>
  <c r="H1538" i="37"/>
  <c r="H1539" i="37"/>
  <c r="H1540" i="37"/>
  <c r="H1541" i="37"/>
  <c r="H1542" i="37"/>
  <c r="H1543" i="37"/>
  <c r="H1544" i="37"/>
  <c r="H1546" i="37"/>
  <c r="H1547" i="37"/>
  <c r="H1548" i="37"/>
  <c r="H1549" i="37"/>
  <c r="H1551" i="37"/>
  <c r="H1552" i="37"/>
  <c r="H1553" i="37"/>
  <c r="H1554" i="37"/>
  <c r="H1555" i="37"/>
  <c r="H1556" i="37"/>
  <c r="H1557" i="37"/>
  <c r="H1558" i="37"/>
  <c r="H1559" i="37"/>
  <c r="H1560" i="37"/>
  <c r="H1561" i="37"/>
  <c r="H1562" i="37"/>
  <c r="H1563" i="37"/>
  <c r="H1564" i="37"/>
  <c r="H1566" i="37"/>
  <c r="H1567" i="37"/>
  <c r="H1568" i="37"/>
  <c r="H1569" i="37"/>
  <c r="H1571" i="37"/>
  <c r="H1572" i="37"/>
  <c r="H1573" i="37"/>
  <c r="H1575" i="37"/>
  <c r="H1577" i="37"/>
  <c r="H1579" i="37"/>
  <c r="H1580" i="37"/>
  <c r="H1441" i="37"/>
  <c r="H1444" i="37"/>
  <c r="H1448" i="37"/>
  <c r="H1449" i="37"/>
  <c r="H1452" i="37"/>
  <c r="H1456" i="37"/>
  <c r="H1457" i="37"/>
  <c r="H1460" i="37"/>
  <c r="H1465" i="37"/>
  <c r="H1472" i="37"/>
  <c r="H1473" i="37"/>
  <c r="H1476" i="37"/>
  <c r="H1477"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8"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B7" i="47"/>
  <c r="E76" i="27"/>
  <c r="D1048" i="37"/>
  <c r="H1048" i="37"/>
  <c r="D76" i="27"/>
  <c r="C1048" i="37"/>
  <c r="L7" i="3"/>
  <c r="F7" i="3"/>
  <c r="B173" i="3"/>
  <c r="A290" i="3"/>
  <c r="A291" i="3"/>
  <c r="A292" i="3"/>
  <c r="D472" i="1"/>
  <c r="E472" i="1"/>
  <c r="D460" i="37"/>
  <c r="D491" i="1"/>
  <c r="C479" i="37"/>
  <c r="E491" i="1"/>
  <c r="D536" i="1"/>
  <c r="E536" i="1"/>
  <c r="D524" i="37"/>
  <c r="B176" i="3"/>
  <c r="D600" i="1"/>
  <c r="E600" i="1"/>
  <c r="D588" i="37"/>
  <c r="B78" i="3"/>
  <c r="B66" i="3"/>
  <c r="B65" i="3"/>
  <c r="B68" i="3"/>
  <c r="B70" i="3"/>
  <c r="B42" i="3"/>
  <c r="B36" i="3"/>
  <c r="B35" i="3"/>
  <c r="M26" i="3"/>
  <c r="N26" i="3"/>
  <c r="F26" i="3"/>
  <c r="M25" i="3"/>
  <c r="N25" i="3"/>
  <c r="F25" i="3"/>
  <c r="D159" i="1"/>
  <c r="C149" i="37"/>
  <c r="D165" i="1"/>
  <c r="C155" i="37"/>
  <c r="E159" i="1"/>
  <c r="E165" i="1"/>
  <c r="D155" i="37"/>
  <c r="H155" i="37"/>
  <c r="D14" i="1"/>
  <c r="D23" i="1"/>
  <c r="D29" i="1"/>
  <c r="C19" i="37"/>
  <c r="D35" i="1"/>
  <c r="D43" i="1"/>
  <c r="C33" i="37"/>
  <c r="D46" i="1"/>
  <c r="C36" i="37"/>
  <c r="H36" i="37"/>
  <c r="D51" i="1"/>
  <c r="C41" i="37"/>
  <c r="D50" i="1"/>
  <c r="C40" i="37"/>
  <c r="D57" i="1"/>
  <c r="C47" i="37"/>
  <c r="D60" i="1"/>
  <c r="C50" i="37"/>
  <c r="D65" i="1"/>
  <c r="C55" i="37"/>
  <c r="D68" i="1"/>
  <c r="C58" i="37"/>
  <c r="H58" i="37"/>
  <c r="D71" i="1"/>
  <c r="C61" i="37"/>
  <c r="H61" i="37"/>
  <c r="D74" i="1"/>
  <c r="C64" i="37"/>
  <c r="D80" i="1"/>
  <c r="C70" i="37"/>
  <c r="D83" i="1"/>
  <c r="C73" i="37"/>
  <c r="D89" i="1"/>
  <c r="C79" i="37"/>
  <c r="D97" i="1"/>
  <c r="C87" i="37"/>
  <c r="D104" i="1"/>
  <c r="C94" i="37"/>
  <c r="D113" i="1"/>
  <c r="C103" i="37"/>
  <c r="D118" i="1"/>
  <c r="C108" i="37"/>
  <c r="D126" i="1"/>
  <c r="C116" i="37"/>
  <c r="D131" i="1"/>
  <c r="D134" i="1"/>
  <c r="C124" i="37"/>
  <c r="D140" i="1"/>
  <c r="D139" i="1"/>
  <c r="C129" i="37"/>
  <c r="D146" i="1"/>
  <c r="C136" i="37"/>
  <c r="D145" i="1"/>
  <c r="C135" i="37"/>
  <c r="E14" i="1"/>
  <c r="E23" i="1"/>
  <c r="D13" i="37"/>
  <c r="E29" i="1"/>
  <c r="D19" i="37"/>
  <c r="E35" i="1"/>
  <c r="D25" i="37"/>
  <c r="E43" i="1"/>
  <c r="D33" i="37"/>
  <c r="E46" i="1"/>
  <c r="D36" i="37"/>
  <c r="E51" i="1"/>
  <c r="D41" i="37"/>
  <c r="G41" i="37"/>
  <c r="E57" i="1"/>
  <c r="D47" i="37"/>
  <c r="E60" i="1"/>
  <c r="D50" i="37"/>
  <c r="E65" i="1"/>
  <c r="D55" i="37"/>
  <c r="E68" i="1"/>
  <c r="D58" i="37"/>
  <c r="E71" i="1"/>
  <c r="D61" i="37"/>
  <c r="E74" i="1"/>
  <c r="D64" i="37"/>
  <c r="E80" i="1"/>
  <c r="D70" i="37"/>
  <c r="E83" i="1"/>
  <c r="D73" i="37"/>
  <c r="E89" i="1"/>
  <c r="D79" i="37"/>
  <c r="E97" i="1"/>
  <c r="D87" i="37"/>
  <c r="E104" i="1"/>
  <c r="D94" i="37"/>
  <c r="E113" i="1"/>
  <c r="D103" i="37"/>
  <c r="E118" i="1"/>
  <c r="D108" i="37"/>
  <c r="H108" i="37"/>
  <c r="E126" i="1"/>
  <c r="D116" i="37"/>
  <c r="H116" i="37"/>
  <c r="E131" i="1"/>
  <c r="D121" i="37"/>
  <c r="E134" i="1"/>
  <c r="D124" i="37"/>
  <c r="E140" i="1"/>
  <c r="E146" i="1"/>
  <c r="D136" i="37"/>
  <c r="E145" i="1"/>
  <c r="D135" i="37"/>
  <c r="G135" i="37"/>
  <c r="D77" i="1"/>
  <c r="C67" i="37"/>
  <c r="E77" i="1"/>
  <c r="D67" i="37"/>
  <c r="D170" i="1"/>
  <c r="C160" i="37"/>
  <c r="D175" i="1"/>
  <c r="D183" i="1"/>
  <c r="C173" i="37"/>
  <c r="D194" i="1"/>
  <c r="C184" i="37"/>
  <c r="D203" i="1"/>
  <c r="F203" i="1"/>
  <c r="D208" i="1"/>
  <c r="C198" i="37"/>
  <c r="D216" i="1"/>
  <c r="C206" i="37"/>
  <c r="D222" i="1"/>
  <c r="D225" i="1"/>
  <c r="C215" i="37"/>
  <c r="D231" i="1"/>
  <c r="C221" i="37"/>
  <c r="D234" i="1"/>
  <c r="C224" i="37"/>
  <c r="D237" i="1"/>
  <c r="C227" i="37"/>
  <c r="D242" i="1"/>
  <c r="C232" i="37"/>
  <c r="G232" i="37"/>
  <c r="D246" i="1"/>
  <c r="C236" i="37"/>
  <c r="D250" i="1"/>
  <c r="C240" i="37"/>
  <c r="D253" i="1"/>
  <c r="C243" i="37"/>
  <c r="D259" i="1"/>
  <c r="C249" i="37"/>
  <c r="D265" i="1"/>
  <c r="D258" i="1"/>
  <c r="C255" i="37"/>
  <c r="D270" i="1"/>
  <c r="C260" i="37"/>
  <c r="D274" i="1"/>
  <c r="C264" i="37"/>
  <c r="D279" i="1"/>
  <c r="C269" i="37"/>
  <c r="G269" i="37"/>
  <c r="D285" i="1"/>
  <c r="C275" i="37"/>
  <c r="H275" i="37"/>
  <c r="E170" i="1"/>
  <c r="D160" i="37"/>
  <c r="E175" i="1"/>
  <c r="D165" i="37"/>
  <c r="E183" i="1"/>
  <c r="D173" i="37"/>
  <c r="H173" i="37"/>
  <c r="E194" i="1"/>
  <c r="D184" i="37"/>
  <c r="E203" i="1"/>
  <c r="D193" i="37"/>
  <c r="E208" i="1"/>
  <c r="D198" i="37"/>
  <c r="E216" i="1"/>
  <c r="D206" i="37"/>
  <c r="E222" i="1"/>
  <c r="E225" i="1"/>
  <c r="D215" i="37"/>
  <c r="H215" i="37"/>
  <c r="E231" i="1"/>
  <c r="E234" i="1"/>
  <c r="D224" i="37"/>
  <c r="E237" i="1"/>
  <c r="D227" i="37"/>
  <c r="H227" i="37"/>
  <c r="E242" i="1"/>
  <c r="D232" i="37"/>
  <c r="E246" i="1"/>
  <c r="D236" i="37"/>
  <c r="H236" i="37"/>
  <c r="E250" i="1"/>
  <c r="D240" i="37"/>
  <c r="E253" i="1"/>
  <c r="D243" i="37"/>
  <c r="E259" i="1"/>
  <c r="E265" i="1"/>
  <c r="D255" i="37"/>
  <c r="E270" i="1"/>
  <c r="D260" i="37"/>
  <c r="G260" i="37"/>
  <c r="E274" i="1"/>
  <c r="E279" i="1"/>
  <c r="D269" i="37"/>
  <c r="E285" i="1"/>
  <c r="D275" i="37"/>
  <c r="D293" i="1"/>
  <c r="C283" i="37"/>
  <c r="H283" i="37"/>
  <c r="E293" i="1"/>
  <c r="D283" i="37"/>
  <c r="D294" i="1"/>
  <c r="C284" i="37"/>
  <c r="E294" i="1"/>
  <c r="D284" i="37"/>
  <c r="D306" i="1"/>
  <c r="C295" i="37"/>
  <c r="D310" i="1"/>
  <c r="C299" i="37"/>
  <c r="D318" i="1"/>
  <c r="C307" i="37"/>
  <c r="D323" i="1"/>
  <c r="C312" i="37"/>
  <c r="D332" i="1"/>
  <c r="C321" i="37"/>
  <c r="D337" i="1"/>
  <c r="C326" i="37"/>
  <c r="D342" i="1"/>
  <c r="C331" i="37"/>
  <c r="D345" i="1"/>
  <c r="C334" i="37"/>
  <c r="D317" i="1"/>
  <c r="C306" i="37"/>
  <c r="D351" i="1"/>
  <c r="D354" i="1"/>
  <c r="C343" i="37"/>
  <c r="E306" i="1"/>
  <c r="E310" i="1"/>
  <c r="D299" i="37"/>
  <c r="E318" i="1"/>
  <c r="F318" i="1"/>
  <c r="E323" i="1"/>
  <c r="D312" i="37"/>
  <c r="E332" i="1"/>
  <c r="D321" i="37"/>
  <c r="E337" i="1"/>
  <c r="D326" i="37"/>
  <c r="E342" i="1"/>
  <c r="D331" i="37"/>
  <c r="G331" i="37"/>
  <c r="E345" i="1"/>
  <c r="D334" i="37"/>
  <c r="H334" i="37"/>
  <c r="E351" i="1"/>
  <c r="D340" i="37"/>
  <c r="E350" i="1"/>
  <c r="D339" i="37"/>
  <c r="E354" i="1"/>
  <c r="D343" i="37"/>
  <c r="G343" i="37"/>
  <c r="D358" i="1"/>
  <c r="C347" i="37"/>
  <c r="H347" i="37"/>
  <c r="D362" i="1"/>
  <c r="C351" i="37"/>
  <c r="D370" i="1"/>
  <c r="C359" i="37"/>
  <c r="D375" i="1"/>
  <c r="C364" i="37"/>
  <c r="D384" i="1"/>
  <c r="C373" i="37"/>
  <c r="D389" i="1"/>
  <c r="C378" i="37"/>
  <c r="D394" i="1"/>
  <c r="C383" i="37"/>
  <c r="D397" i="1"/>
  <c r="C386" i="37"/>
  <c r="D403" i="1"/>
  <c r="D406" i="1"/>
  <c r="C395" i="37"/>
  <c r="H395" i="37"/>
  <c r="D408" i="1"/>
  <c r="C397" i="37"/>
  <c r="G397" i="37"/>
  <c r="E358" i="1"/>
  <c r="D347" i="37"/>
  <c r="E362" i="1"/>
  <c r="D351" i="37"/>
  <c r="E357" i="1"/>
  <c r="D346" i="37"/>
  <c r="E370" i="1"/>
  <c r="E375" i="1"/>
  <c r="D364" i="37"/>
  <c r="E384" i="1"/>
  <c r="D373" i="37"/>
  <c r="E389" i="1"/>
  <c r="D378" i="37"/>
  <c r="E394" i="1"/>
  <c r="D383" i="37"/>
  <c r="G383" i="37"/>
  <c r="E397" i="1"/>
  <c r="D386" i="37"/>
  <c r="H386" i="37"/>
  <c r="E403" i="1"/>
  <c r="D392" i="37"/>
  <c r="E406" i="1"/>
  <c r="D395" i="37"/>
  <c r="E408" i="1"/>
  <c r="D397" i="37"/>
  <c r="D422" i="1"/>
  <c r="E422" i="1"/>
  <c r="D411" i="37"/>
  <c r="D423" i="1"/>
  <c r="C412" i="37"/>
  <c r="E423" i="1"/>
  <c r="E650" i="1"/>
  <c r="D638" i="37"/>
  <c r="D424" i="1"/>
  <c r="C413" i="37"/>
  <c r="E424" i="1"/>
  <c r="D413" i="37"/>
  <c r="D428" i="1"/>
  <c r="D433" i="1"/>
  <c r="C421" i="37"/>
  <c r="H421" i="37"/>
  <c r="D436" i="1"/>
  <c r="C424" i="37"/>
  <c r="D441" i="1"/>
  <c r="C429" i="37"/>
  <c r="D448" i="1"/>
  <c r="C436" i="37"/>
  <c r="H436" i="37"/>
  <c r="D453" i="1"/>
  <c r="C441" i="37"/>
  <c r="D461" i="1"/>
  <c r="C449" i="37"/>
  <c r="D466" i="1"/>
  <c r="D469" i="1"/>
  <c r="C457" i="37"/>
  <c r="D475" i="1"/>
  <c r="C463" i="37"/>
  <c r="D479" i="1"/>
  <c r="C467" i="37"/>
  <c r="H467" i="37"/>
  <c r="D484" i="1"/>
  <c r="C472" i="37"/>
  <c r="D487" i="1"/>
  <c r="C475" i="37"/>
  <c r="D496" i="1"/>
  <c r="C484" i="37"/>
  <c r="H484" i="37"/>
  <c r="D501" i="1"/>
  <c r="D508" i="1"/>
  <c r="C496" i="37"/>
  <c r="D513" i="1"/>
  <c r="C501" i="37"/>
  <c r="D522" i="1"/>
  <c r="C510" i="37"/>
  <c r="D525" i="1"/>
  <c r="C513" i="37"/>
  <c r="D528" i="1"/>
  <c r="D531" i="1"/>
  <c r="C519" i="37"/>
  <c r="H519" i="37"/>
  <c r="D521" i="1"/>
  <c r="C509" i="37"/>
  <c r="E428" i="1"/>
  <c r="D416" i="37"/>
  <c r="E433" i="1"/>
  <c r="D421" i="37"/>
  <c r="E436" i="1"/>
  <c r="D424" i="37"/>
  <c r="E441" i="1"/>
  <c r="D429" i="37"/>
  <c r="G429" i="37"/>
  <c r="E448" i="1"/>
  <c r="D436" i="37"/>
  <c r="E453" i="1"/>
  <c r="D441" i="37"/>
  <c r="E461" i="1"/>
  <c r="D449" i="37"/>
  <c r="E466" i="1"/>
  <c r="D454" i="37"/>
  <c r="E469" i="1"/>
  <c r="D457" i="37"/>
  <c r="E475" i="1"/>
  <c r="D463" i="37"/>
  <c r="E479" i="1"/>
  <c r="D467" i="37"/>
  <c r="E484" i="1"/>
  <c r="D472" i="37"/>
  <c r="E487" i="1"/>
  <c r="D475" i="37"/>
  <c r="E496" i="1"/>
  <c r="D484" i="37"/>
  <c r="E501" i="1"/>
  <c r="D489" i="37"/>
  <c r="E508" i="1"/>
  <c r="D496" i="37"/>
  <c r="E513" i="1"/>
  <c r="D501" i="37"/>
  <c r="G501" i="37"/>
  <c r="E522" i="1"/>
  <c r="D510" i="37"/>
  <c r="E525" i="1"/>
  <c r="E528" i="1"/>
  <c r="D516" i="37"/>
  <c r="E531" i="1"/>
  <c r="D519" i="37"/>
  <c r="D541" i="1"/>
  <c r="D544" i="1"/>
  <c r="C532" i="37"/>
  <c r="G532" i="37"/>
  <c r="D549" i="1"/>
  <c r="C537" i="37"/>
  <c r="D556" i="1"/>
  <c r="C544" i="37"/>
  <c r="D561" i="1"/>
  <c r="C549" i="37"/>
  <c r="D569" i="1"/>
  <c r="C557" i="37"/>
  <c r="D574" i="1"/>
  <c r="C562" i="37"/>
  <c r="D577" i="1"/>
  <c r="C565" i="37"/>
  <c r="H565" i="37"/>
  <c r="D580" i="1"/>
  <c r="C568" i="37"/>
  <c r="G568" i="37"/>
  <c r="D583" i="1"/>
  <c r="D587" i="1"/>
  <c r="C575" i="37"/>
  <c r="D591" i="1"/>
  <c r="C579" i="37"/>
  <c r="D593" i="1"/>
  <c r="C581" i="37"/>
  <c r="D596" i="1"/>
  <c r="C584" i="37"/>
  <c r="D586" i="1"/>
  <c r="C574" i="37"/>
  <c r="D605" i="1"/>
  <c r="C593" i="37"/>
  <c r="D609" i="1"/>
  <c r="C597" i="37"/>
  <c r="D611" i="1"/>
  <c r="D618" i="1"/>
  <c r="C606" i="37"/>
  <c r="D623" i="1"/>
  <c r="C611" i="37"/>
  <c r="D632" i="1"/>
  <c r="D635" i="1"/>
  <c r="C623" i="37"/>
  <c r="D638" i="1"/>
  <c r="C626" i="37"/>
  <c r="G626" i="37"/>
  <c r="E541" i="1"/>
  <c r="E544" i="1"/>
  <c r="D532" i="37"/>
  <c r="E549" i="1"/>
  <c r="D537" i="37"/>
  <c r="E556" i="1"/>
  <c r="D544" i="37"/>
  <c r="E561" i="1"/>
  <c r="D549" i="37"/>
  <c r="E569" i="1"/>
  <c r="D557" i="37"/>
  <c r="E574" i="1"/>
  <c r="D562" i="37"/>
  <c r="E577" i="1"/>
  <c r="D565" i="37"/>
  <c r="E580" i="1"/>
  <c r="D568" i="37"/>
  <c r="E583" i="1"/>
  <c r="D571" i="37"/>
  <c r="E573" i="1"/>
  <c r="D561" i="37"/>
  <c r="E587" i="1"/>
  <c r="D575" i="37"/>
  <c r="E591" i="1"/>
  <c r="D579" i="37"/>
  <c r="E593" i="1"/>
  <c r="D581" i="37"/>
  <c r="E596" i="1"/>
  <c r="D584" i="37"/>
  <c r="E605" i="1"/>
  <c r="D593" i="37"/>
  <c r="E609" i="1"/>
  <c r="D597" i="37"/>
  <c r="E611" i="1"/>
  <c r="E618" i="1"/>
  <c r="D606" i="37"/>
  <c r="E623" i="1"/>
  <c r="D611" i="37"/>
  <c r="E632" i="1"/>
  <c r="E635" i="1"/>
  <c r="D623" i="37"/>
  <c r="E638" i="1"/>
  <c r="D626" i="37"/>
  <c r="D649" i="1"/>
  <c r="C637" i="37"/>
  <c r="D658" i="1"/>
  <c r="C645" i="37"/>
  <c r="E658" i="1"/>
  <c r="D645" i="37"/>
  <c r="K60" i="42"/>
  <c r="I63" i="42"/>
  <c r="I62" i="42"/>
  <c r="I61" i="42"/>
  <c r="I60" i="42"/>
  <c r="A3" i="47"/>
  <c r="B4" i="47"/>
  <c r="D15" i="47"/>
  <c r="C1483" i="37"/>
  <c r="D25" i="47"/>
  <c r="C1493" i="37"/>
  <c r="D33" i="47"/>
  <c r="D43" i="47"/>
  <c r="C1511" i="37"/>
  <c r="H1511" i="37"/>
  <c r="D51" i="47"/>
  <c r="C1519" i="37"/>
  <c r="D57" i="47"/>
  <c r="C1525" i="37"/>
  <c r="G1525" i="37"/>
  <c r="D62" i="47"/>
  <c r="C1530" i="37"/>
  <c r="D67" i="47"/>
  <c r="C1535" i="37"/>
  <c r="D72" i="47"/>
  <c r="C1540" i="37"/>
  <c r="G1540" i="37"/>
  <c r="D77" i="47"/>
  <c r="C1545" i="37"/>
  <c r="H1545" i="37"/>
  <c r="D82" i="47"/>
  <c r="C1550" i="37"/>
  <c r="D87" i="47"/>
  <c r="C1555" i="37"/>
  <c r="D92" i="47"/>
  <c r="C1560" i="37"/>
  <c r="G1560" i="37"/>
  <c r="D97" i="47"/>
  <c r="C1565" i="37"/>
  <c r="G1565" i="37"/>
  <c r="D102" i="47"/>
  <c r="C1570" i="37"/>
  <c r="H1570" i="37"/>
  <c r="D108" i="47"/>
  <c r="K63" i="42"/>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E247" i="27"/>
  <c r="D1219" i="37"/>
  <c r="E251" i="27"/>
  <c r="D1223" i="37"/>
  <c r="E255" i="27"/>
  <c r="D1227" i="37"/>
  <c r="G1227" i="37"/>
  <c r="E250" i="27"/>
  <c r="D1222" i="37"/>
  <c r="D244" i="27"/>
  <c r="C1216" i="37"/>
  <c r="D247" i="27"/>
  <c r="C1219" i="37"/>
  <c r="H1219" i="37"/>
  <c r="D243" i="27"/>
  <c r="D251" i="27"/>
  <c r="D255" i="27"/>
  <c r="C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3" i="3"/>
  <c r="A295" i="3"/>
  <c r="A296" i="3"/>
  <c r="A297" i="3"/>
  <c r="A299" i="3"/>
  <c r="A300" i="3"/>
  <c r="A301" i="3"/>
  <c r="A303" i="3"/>
  <c r="A304" i="3"/>
  <c r="F277" i="3"/>
  <c r="F273" i="3"/>
  <c r="E170" i="27"/>
  <c r="D1142" i="37"/>
  <c r="D170" i="27"/>
  <c r="C1142" i="37"/>
  <c r="A3" i="33"/>
  <c r="A3" i="36"/>
  <c r="A3" i="27"/>
  <c r="A3" i="1"/>
  <c r="A5" i="42"/>
  <c r="F171" i="27"/>
  <c r="F172" i="27"/>
  <c r="F173" i="27"/>
  <c r="F174" i="27"/>
  <c r="F175" i="27"/>
  <c r="D58" i="27"/>
  <c r="C1030" i="37"/>
  <c r="E58" i="27"/>
  <c r="D1030" i="37"/>
  <c r="H1030" i="37"/>
  <c r="D62" i="27"/>
  <c r="C1034" i="37"/>
  <c r="G1034" i="37"/>
  <c r="E62" i="27"/>
  <c r="D1034" i="37"/>
  <c r="D155" i="27"/>
  <c r="C1127" i="37"/>
  <c r="H1127" i="37"/>
  <c r="D152" i="27"/>
  <c r="C1124" i="37"/>
  <c r="D75" i="27"/>
  <c r="D85" i="27"/>
  <c r="C1057" i="37"/>
  <c r="D84" i="27"/>
  <c r="C1056" i="37"/>
  <c r="G1056" i="37"/>
  <c r="D94" i="27"/>
  <c r="F94" i="27"/>
  <c r="D112" i="27"/>
  <c r="C1084" i="37"/>
  <c r="D125" i="27"/>
  <c r="C1097" i="37"/>
  <c r="D132" i="27"/>
  <c r="C1104" i="37"/>
  <c r="D124" i="27"/>
  <c r="C1096" i="37"/>
  <c r="D141" i="27"/>
  <c r="C1113" i="37"/>
  <c r="D148" i="27"/>
  <c r="C1120" i="37"/>
  <c r="G1120" i="37"/>
  <c r="D140" i="27"/>
  <c r="C1112" i="37"/>
  <c r="D176" i="27"/>
  <c r="C1148" i="37"/>
  <c r="E155" i="27"/>
  <c r="D1127" i="37"/>
  <c r="E152" i="27"/>
  <c r="E75" i="27"/>
  <c r="E85" i="27"/>
  <c r="D1057" i="37"/>
  <c r="E84" i="27"/>
  <c r="D1056" i="37"/>
  <c r="E94" i="27"/>
  <c r="E112" i="27"/>
  <c r="D1084" i="37"/>
  <c r="E125" i="27"/>
  <c r="D1097" i="37"/>
  <c r="E132" i="27"/>
  <c r="D1104" i="37"/>
  <c r="E124" i="27"/>
  <c r="D1096" i="37"/>
  <c r="E141" i="27"/>
  <c r="D1113" i="37"/>
  <c r="E148" i="27"/>
  <c r="D1120" i="37"/>
  <c r="E140" i="27"/>
  <c r="D1112" i="37"/>
  <c r="E176" i="27"/>
  <c r="D1148" i="37"/>
  <c r="D185" i="27"/>
  <c r="C1157" i="37"/>
  <c r="D182" i="27"/>
  <c r="D196" i="27"/>
  <c r="D203" i="27"/>
  <c r="C1175" i="37"/>
  <c r="H1175" i="37"/>
  <c r="D212" i="27"/>
  <c r="D229" i="27"/>
  <c r="C1201" i="37"/>
  <c r="H1201" i="37"/>
  <c r="D239" i="27"/>
  <c r="C1211" i="37"/>
  <c r="E185" i="27"/>
  <c r="E196" i="27"/>
  <c r="D1168" i="37"/>
  <c r="E203" i="27"/>
  <c r="D1175" i="37"/>
  <c r="E195" i="27"/>
  <c r="E212" i="27"/>
  <c r="D1184" i="37"/>
  <c r="E229" i="27"/>
  <c r="D1201" i="37"/>
  <c r="E211" i="27"/>
  <c r="E239" i="27"/>
  <c r="D1211" i="37"/>
  <c r="F91" i="27"/>
  <c r="L32" i="37"/>
  <c r="K32" i="37"/>
  <c r="F296" i="3"/>
  <c r="B32" i="3"/>
  <c r="B40" i="3"/>
  <c r="B48" i="3"/>
  <c r="B51" i="3"/>
  <c r="B57" i="3"/>
  <c r="B59" i="3"/>
  <c r="B74" i="3"/>
  <c r="B75" i="3"/>
  <c r="B76" i="3"/>
  <c r="B79" i="3"/>
  <c r="B81" i="3"/>
  <c r="B83" i="3"/>
  <c r="B87" i="3"/>
  <c r="B89" i="3"/>
  <c r="B91" i="3"/>
  <c r="B93" i="3"/>
  <c r="B95" i="3"/>
  <c r="B101" i="3"/>
  <c r="B103" i="3"/>
  <c r="B107" i="3"/>
  <c r="B109" i="3"/>
  <c r="B111" i="3"/>
  <c r="B113" i="3"/>
  <c r="B119" i="3"/>
  <c r="B121" i="3"/>
  <c r="B123" i="3"/>
  <c r="B135" i="3"/>
  <c r="B141" i="3"/>
  <c r="B143" i="3"/>
  <c r="F280" i="3"/>
  <c r="F281" i="3"/>
  <c r="B281" i="3"/>
  <c r="F284" i="3"/>
  <c r="F291"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24" i="3"/>
  <c r="L224" i="3"/>
  <c r="F224" i="3"/>
  <c r="B224" i="3"/>
  <c r="M221" i="3"/>
  <c r="F221" i="3"/>
  <c r="B221" i="3"/>
  <c r="M222" i="3"/>
  <c r="F301" i="3"/>
  <c r="D14" i="27"/>
  <c r="C986" i="37"/>
  <c r="F304" i="3"/>
  <c r="F303" i="3"/>
  <c r="F300" i="3"/>
  <c r="F298" i="3"/>
  <c r="F299" i="3"/>
  <c r="F297" i="3"/>
  <c r="F294" i="3"/>
  <c r="F295" i="3"/>
  <c r="F293" i="3"/>
  <c r="F292" i="3"/>
  <c r="F290" i="3"/>
  <c r="F289" i="3"/>
  <c r="F288" i="3"/>
  <c r="F286" i="3"/>
  <c r="F285" i="3"/>
  <c r="F283" i="3"/>
  <c r="F282" i="3"/>
  <c r="F276" i="3"/>
  <c r="L274" i="3"/>
  <c r="F274" i="3"/>
  <c r="L271" i="3"/>
  <c r="M271" i="3"/>
  <c r="F271" i="3"/>
  <c r="B271" i="3"/>
  <c r="L270" i="3"/>
  <c r="M270" i="3"/>
  <c r="L269" i="3"/>
  <c r="M269" i="3"/>
  <c r="L268" i="3"/>
  <c r="M268" i="3"/>
  <c r="L267" i="3"/>
  <c r="M267" i="3"/>
  <c r="F267" i="3"/>
  <c r="B267" i="3"/>
  <c r="L266" i="3"/>
  <c r="M266" i="3"/>
  <c r="L265" i="3"/>
  <c r="M265" i="3"/>
  <c r="L264" i="3"/>
  <c r="M264" i="3"/>
  <c r="L263" i="3"/>
  <c r="M263" i="3"/>
  <c r="F263" i="3"/>
  <c r="B263" i="3"/>
  <c r="L262" i="3"/>
  <c r="M262" i="3"/>
  <c r="L261" i="3"/>
  <c r="M261" i="3"/>
  <c r="F261" i="3"/>
  <c r="B261" i="3"/>
  <c r="L260" i="3"/>
  <c r="M260" i="3"/>
  <c r="L259" i="3"/>
  <c r="M259" i="3"/>
  <c r="L258" i="3"/>
  <c r="M258" i="3"/>
  <c r="L257" i="3"/>
  <c r="M257" i="3"/>
  <c r="F257" i="3"/>
  <c r="B257" i="3"/>
  <c r="L256" i="3"/>
  <c r="M256" i="3"/>
  <c r="L255" i="3"/>
  <c r="M255" i="3"/>
  <c r="F255" i="3"/>
  <c r="B255" i="3"/>
  <c r="L254" i="3"/>
  <c r="M254" i="3"/>
  <c r="L253" i="3"/>
  <c r="M253" i="3"/>
  <c r="F253" i="3"/>
  <c r="B253" i="3"/>
  <c r="L252" i="3"/>
  <c r="M252" i="3"/>
  <c r="L251" i="3"/>
  <c r="M251" i="3"/>
  <c r="L250" i="3"/>
  <c r="M250" i="3"/>
  <c r="L249" i="3"/>
  <c r="M249" i="3"/>
  <c r="F249" i="3"/>
  <c r="B249" i="3"/>
  <c r="L248" i="3"/>
  <c r="M248" i="3"/>
  <c r="L247" i="3"/>
  <c r="M247" i="3"/>
  <c r="L246" i="3"/>
  <c r="M246" i="3"/>
  <c r="L245" i="3"/>
  <c r="M245" i="3"/>
  <c r="F245" i="3"/>
  <c r="B245" i="3"/>
  <c r="L244" i="3"/>
  <c r="M244" i="3"/>
  <c r="L243" i="3"/>
  <c r="M243" i="3"/>
  <c r="L242" i="3"/>
  <c r="M242" i="3"/>
  <c r="L241" i="3"/>
  <c r="M241" i="3"/>
  <c r="F241" i="3"/>
  <c r="B241" i="3"/>
  <c r="L240" i="3"/>
  <c r="M240" i="3"/>
  <c r="L239" i="3"/>
  <c r="M239" i="3"/>
  <c r="F239" i="3"/>
  <c r="B239" i="3"/>
  <c r="L238" i="3"/>
  <c r="M238" i="3"/>
  <c r="L237" i="3"/>
  <c r="M237" i="3"/>
  <c r="L236" i="3"/>
  <c r="M236" i="3"/>
  <c r="L235" i="3"/>
  <c r="M235" i="3"/>
  <c r="F235" i="3"/>
  <c r="B235" i="3"/>
  <c r="L234" i="3"/>
  <c r="M234" i="3"/>
  <c r="L233" i="3"/>
  <c r="M233" i="3"/>
  <c r="F233" i="3"/>
  <c r="B233" i="3"/>
  <c r="L232" i="3"/>
  <c r="M232" i="3"/>
  <c r="L231" i="3"/>
  <c r="M231" i="3"/>
  <c r="L230" i="3"/>
  <c r="M230" i="3"/>
  <c r="L229" i="3"/>
  <c r="M229" i="3"/>
  <c r="F229" i="3"/>
  <c r="B229" i="3"/>
  <c r="L228" i="3"/>
  <c r="M228" i="3"/>
  <c r="L227" i="3"/>
  <c r="M227" i="3"/>
  <c r="L226" i="3"/>
  <c r="M226" i="3"/>
  <c r="F226" i="3"/>
  <c r="B226" i="3"/>
  <c r="F225" i="3"/>
  <c r="L223" i="3"/>
  <c r="F223" i="3"/>
  <c r="B223" i="3"/>
  <c r="M223" i="3"/>
  <c r="L222" i="3"/>
  <c r="F222" i="3"/>
  <c r="B222" i="3"/>
  <c r="L221" i="3"/>
  <c r="L220" i="3"/>
  <c r="M220" i="3"/>
  <c r="L219" i="3"/>
  <c r="M219" i="3"/>
  <c r="L218" i="3"/>
  <c r="M218" i="3"/>
  <c r="F218" i="3"/>
  <c r="B218" i="3"/>
  <c r="L217" i="3"/>
  <c r="M217" i="3"/>
  <c r="F217" i="3"/>
  <c r="B217" i="3"/>
  <c r="L216" i="3"/>
  <c r="F216" i="3"/>
  <c r="B216" i="3" s="1"/>
  <c r="M216" i="3"/>
  <c r="L215" i="3"/>
  <c r="M215" i="3"/>
  <c r="L214" i="3"/>
  <c r="M214" i="3"/>
  <c r="F214" i="3" s="1"/>
  <c r="L213" i="3"/>
  <c r="M213" i="3"/>
  <c r="L212" i="3"/>
  <c r="M212" i="3"/>
  <c r="F212" i="3"/>
  <c r="B212" i="3"/>
  <c r="F275" i="3"/>
  <c r="F302" i="3"/>
  <c r="B63" i="42"/>
  <c r="B62" i="42"/>
  <c r="B61" i="42"/>
  <c r="B42" i="42"/>
  <c r="B41" i="42"/>
  <c r="B40" i="42"/>
  <c r="B39" i="42"/>
  <c r="B47" i="42"/>
  <c r="B46" i="42"/>
  <c r="B45" i="42"/>
  <c r="B44" i="42"/>
  <c r="C22" i="42"/>
  <c r="D13" i="36"/>
  <c r="C1300" i="37"/>
  <c r="G1300" i="37"/>
  <c r="D17" i="36"/>
  <c r="C1304" i="37"/>
  <c r="H1304" i="37"/>
  <c r="D20" i="36"/>
  <c r="C1307" i="37"/>
  <c r="E13" i="36"/>
  <c r="D1300" i="37"/>
  <c r="E17" i="36"/>
  <c r="D1304" i="37"/>
  <c r="G1304" i="37"/>
  <c r="E20" i="36"/>
  <c r="D1307" i="37"/>
  <c r="D29" i="36"/>
  <c r="C1316" i="37"/>
  <c r="H1316" i="37"/>
  <c r="E29" i="36"/>
  <c r="D1316" i="37"/>
  <c r="D35" i="36"/>
  <c r="C1322" i="37"/>
  <c r="H1322" i="37"/>
  <c r="E35" i="36"/>
  <c r="D1322" i="37"/>
  <c r="D43" i="36"/>
  <c r="C1330" i="37"/>
  <c r="G1330" i="37"/>
  <c r="D46" i="36"/>
  <c r="C1333" i="37"/>
  <c r="D50" i="36"/>
  <c r="C1337" i="37"/>
  <c r="G1337" i="37"/>
  <c r="D57" i="36"/>
  <c r="C1344" i="37"/>
  <c r="G1344" i="37"/>
  <c r="D61" i="36"/>
  <c r="C1348" i="37"/>
  <c r="G1348" i="37"/>
  <c r="D68" i="36"/>
  <c r="C1355" i="37"/>
  <c r="D73" i="36"/>
  <c r="C1360" i="37"/>
  <c r="H1360" i="37"/>
  <c r="E43" i="36"/>
  <c r="D1330" i="37"/>
  <c r="E46" i="36"/>
  <c r="D1333" i="37"/>
  <c r="E50" i="36"/>
  <c r="D1337" i="37"/>
  <c r="E57" i="36"/>
  <c r="D1344" i="37"/>
  <c r="H1344" i="37"/>
  <c r="E61" i="36"/>
  <c r="D1348" i="37"/>
  <c r="E68" i="36"/>
  <c r="D1355" i="37"/>
  <c r="E73" i="36"/>
  <c r="D1360" i="37"/>
  <c r="D82" i="36"/>
  <c r="C1369" i="37"/>
  <c r="G1369" i="37"/>
  <c r="E82" i="36"/>
  <c r="D1369" i="37"/>
  <c r="D89" i="36"/>
  <c r="C1376" i="37"/>
  <c r="G1376" i="37"/>
  <c r="E89" i="36"/>
  <c r="D1376" i="37"/>
  <c r="D97" i="36"/>
  <c r="C1384" i="37"/>
  <c r="H1384" i="37"/>
  <c r="D101" i="36"/>
  <c r="C1388" i="37"/>
  <c r="H1388" i="37"/>
  <c r="D106" i="36"/>
  <c r="C1393" i="37"/>
  <c r="H1393" i="37"/>
  <c r="E97" i="36"/>
  <c r="D1384" i="37"/>
  <c r="E101" i="36"/>
  <c r="D1388" i="37"/>
  <c r="E106" i="36"/>
  <c r="D1393" i="37"/>
  <c r="D114" i="36"/>
  <c r="C1401" i="37"/>
  <c r="G1401" i="37"/>
  <c r="E114" i="36"/>
  <c r="D1401" i="37"/>
  <c r="D122" i="36"/>
  <c r="C1409" i="37"/>
  <c r="G1409" i="37"/>
  <c r="D125" i="36"/>
  <c r="C1412" i="37"/>
  <c r="G1412" i="37"/>
  <c r="D129" i="36"/>
  <c r="C1416" i="37"/>
  <c r="G1416" i="37"/>
  <c r="E122" i="36"/>
  <c r="D1409" i="37"/>
  <c r="E125" i="36"/>
  <c r="D1412" i="37"/>
  <c r="E129" i="36"/>
  <c r="D1416" i="37"/>
  <c r="D137" i="36"/>
  <c r="C1424" i="37"/>
  <c r="H1424" i="37"/>
  <c r="E137" i="36"/>
  <c r="D1424" i="37"/>
  <c r="E136" i="36"/>
  <c r="D1423" i="37"/>
  <c r="D14" i="33"/>
  <c r="C1438" i="37"/>
  <c r="D21" i="33"/>
  <c r="C1445" i="37"/>
  <c r="G1445" i="37"/>
  <c r="D30" i="33"/>
  <c r="C1454" i="37"/>
  <c r="D37" i="33"/>
  <c r="C1461" i="37"/>
  <c r="G1461" i="37"/>
  <c r="E14" i="33"/>
  <c r="D1438" i="37"/>
  <c r="E21" i="33"/>
  <c r="D1445" i="37"/>
  <c r="E30" i="33"/>
  <c r="D1454" i="37"/>
  <c r="E37" i="33"/>
  <c r="D46" i="33"/>
  <c r="C1470" i="37"/>
  <c r="D51" i="33"/>
  <c r="C1475" i="37"/>
  <c r="E46" i="33"/>
  <c r="D1470" i="37"/>
  <c r="E51" i="33"/>
  <c r="D1475" i="37"/>
  <c r="G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E264" i="27"/>
  <c r="D1236" i="37"/>
  <c r="D263" i="27"/>
  <c r="C1235" i="37"/>
  <c r="F262" i="27"/>
  <c r="F261" i="27"/>
  <c r="F260" i="27"/>
  <c r="F258" i="27"/>
  <c r="F257" i="27"/>
  <c r="F256" i="27"/>
  <c r="F255" i="27"/>
  <c r="F254" i="27"/>
  <c r="F253" i="27"/>
  <c r="F252" i="27"/>
  <c r="F251"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H1041" i="37"/>
  <c r="E69" i="27"/>
  <c r="D1041" i="37"/>
  <c r="F68" i="27"/>
  <c r="F67" i="27"/>
  <c r="F66" i="27"/>
  <c r="F65" i="27"/>
  <c r="F64" i="27"/>
  <c r="F63" i="27"/>
  <c r="F62" i="27"/>
  <c r="F61" i="27"/>
  <c r="F60" i="27"/>
  <c r="F59" i="27"/>
  <c r="F58" i="27"/>
  <c r="F57" i="27"/>
  <c r="F56" i="27"/>
  <c r="F55" i="27"/>
  <c r="F54" i="27"/>
  <c r="F53" i="27"/>
  <c r="F52" i="27"/>
  <c r="D51" i="27"/>
  <c r="C1023" i="37"/>
  <c r="H1023" i="37"/>
  <c r="E51" i="27"/>
  <c r="D1023" i="37"/>
  <c r="F50" i="27"/>
  <c r="F49" i="27"/>
  <c r="F48" i="27"/>
  <c r="D47" i="27"/>
  <c r="C1019" i="37"/>
  <c r="H1019" i="37"/>
  <c r="E47" i="27"/>
  <c r="D1019" i="37"/>
  <c r="F46" i="27"/>
  <c r="F45" i="27"/>
  <c r="F44" i="27"/>
  <c r="F43" i="27"/>
  <c r="F42" i="27"/>
  <c r="D41" i="27"/>
  <c r="C1013" i="37"/>
  <c r="H1013" i="37"/>
  <c r="E41" i="27"/>
  <c r="D1013" i="37"/>
  <c r="F40" i="27"/>
  <c r="F39" i="27"/>
  <c r="F38" i="27"/>
  <c r="F37" i="27"/>
  <c r="F36" i="27"/>
  <c r="D35" i="27"/>
  <c r="C1007" i="37"/>
  <c r="E35" i="27"/>
  <c r="D1007" i="37"/>
  <c r="F34" i="27"/>
  <c r="F33" i="27"/>
  <c r="F32" i="27"/>
  <c r="F31" i="27"/>
  <c r="F30" i="27"/>
  <c r="F29" i="27"/>
  <c r="F28" i="27"/>
  <c r="F27" i="27"/>
  <c r="F26" i="27"/>
  <c r="D25" i="27"/>
  <c r="C997" i="37"/>
  <c r="E25" i="27"/>
  <c r="D997" i="37"/>
  <c r="F24" i="27"/>
  <c r="F23" i="27"/>
  <c r="F22" i="27"/>
  <c r="F21" i="27"/>
  <c r="F20" i="27"/>
  <c r="D19" i="27"/>
  <c r="C991" i="37"/>
  <c r="H991" i="37"/>
  <c r="E19" i="27"/>
  <c r="D991" i="37"/>
  <c r="F17" i="27"/>
  <c r="F16" i="27"/>
  <c r="F15" i="27"/>
  <c r="F14"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265" i="1"/>
  <c r="F466" i="1"/>
  <c r="F491" i="1"/>
  <c r="F531" i="1"/>
  <c r="F23" i="1"/>
  <c r="F60" i="1"/>
  <c r="F1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4" i="1"/>
  <c r="F223" i="1"/>
  <c r="F222" i="1"/>
  <c r="F220" i="1"/>
  <c r="F219" i="1"/>
  <c r="F218" i="1"/>
  <c r="F217" i="1"/>
  <c r="F216" i="1"/>
  <c r="F215" i="1"/>
  <c r="F214" i="1"/>
  <c r="F213" i="1"/>
  <c r="F212" i="1"/>
  <c r="F211" i="1"/>
  <c r="F210" i="1"/>
  <c r="F209" i="1"/>
  <c r="F207" i="1"/>
  <c r="F206" i="1"/>
  <c r="F205" i="1"/>
  <c r="F204"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46" i="36"/>
  <c r="F50" i="36"/>
  <c r="F114" i="36"/>
  <c r="F43" i="36"/>
  <c r="F29" i="36"/>
  <c r="F423" i="1"/>
  <c r="F638" i="1"/>
  <c r="F69" i="27"/>
  <c r="F132" i="27"/>
  <c r="F196" i="27"/>
  <c r="F244" i="27"/>
  <c r="D45" i="33"/>
  <c r="C1469" i="37"/>
  <c r="E13" i="33"/>
  <c r="D1437" i="37"/>
  <c r="D29" i="33"/>
  <c r="C1453" i="37"/>
  <c r="F35" i="27"/>
  <c r="F47" i="27"/>
  <c r="F112" i="27"/>
  <c r="F148" i="27"/>
  <c r="F185" i="27"/>
  <c r="F212" i="27"/>
  <c r="D136" i="36"/>
  <c r="C1423" i="37"/>
  <c r="E96" i="36"/>
  <c r="D1383" i="37"/>
  <c r="E12" i="36"/>
  <c r="D1299" i="37"/>
  <c r="K20" i="37"/>
  <c r="F84" i="27"/>
  <c r="J57" i="42"/>
  <c r="F136" i="36"/>
  <c r="F182" i="27"/>
  <c r="J56" i="42"/>
  <c r="F243" i="27"/>
  <c r="F25" i="27"/>
  <c r="F76" i="27"/>
  <c r="F203" i="27"/>
  <c r="F19" i="27"/>
  <c r="D18" i="27"/>
  <c r="C990" i="37"/>
  <c r="B153" i="3"/>
  <c r="B52" i="3"/>
  <c r="F140" i="27"/>
  <c r="D13" i="27"/>
  <c r="C985" i="37"/>
  <c r="F75" i="27"/>
  <c r="F549" i="1"/>
  <c r="F587" i="1"/>
  <c r="F145" i="1"/>
  <c r="F51" i="1"/>
  <c r="F104" i="1"/>
  <c r="F146" i="1"/>
  <c r="F170" i="1"/>
  <c r="F234" i="1"/>
  <c r="F259" i="1"/>
  <c r="F370" i="1"/>
  <c r="F513" i="1"/>
  <c r="F574" i="1"/>
  <c r="B146" i="3"/>
  <c r="F294" i="1"/>
  <c r="F484" i="1"/>
  <c r="F544" i="1"/>
  <c r="F556" i="1"/>
  <c r="F577" i="1"/>
  <c r="F605" i="1"/>
  <c r="F609" i="1"/>
  <c r="F618" i="1"/>
  <c r="F165" i="1"/>
  <c r="F569" i="1"/>
  <c r="F131" i="1"/>
  <c r="F208" i="1"/>
  <c r="F231" i="1"/>
  <c r="F246" i="1"/>
  <c r="F274" i="1"/>
  <c r="F285" i="1"/>
  <c r="F306" i="1"/>
  <c r="F354" i="1"/>
  <c r="F501" i="1"/>
  <c r="F220" i="3"/>
  <c r="B220" i="3"/>
  <c r="B163" i="3"/>
  <c r="B159" i="3"/>
  <c r="B157" i="3"/>
  <c r="B155" i="3"/>
  <c r="B151" i="3"/>
  <c r="B144" i="3"/>
  <c r="B140" i="3"/>
  <c r="B138" i="3"/>
  <c r="B134" i="3"/>
  <c r="B130" i="3"/>
  <c r="B128" i="3"/>
  <c r="B124" i="3"/>
  <c r="B122" i="3"/>
  <c r="B118" i="3"/>
  <c r="B116" i="3"/>
  <c r="B114" i="3"/>
  <c r="B112" i="3"/>
  <c r="B108" i="3"/>
  <c r="B106" i="3"/>
  <c r="B104" i="3"/>
  <c r="B100" i="3"/>
  <c r="B98" i="3"/>
  <c r="B96" i="3"/>
  <c r="B92" i="3"/>
  <c r="B90" i="3"/>
  <c r="B88" i="3"/>
  <c r="B86" i="3"/>
  <c r="B84" i="3"/>
  <c r="B82" i="3"/>
  <c r="B80" i="3"/>
  <c r="B77" i="3"/>
  <c r="B60" i="3"/>
  <c r="B58" i="3"/>
  <c r="B56" i="3"/>
  <c r="B54" i="3"/>
  <c r="B33" i="3"/>
  <c r="F227" i="3"/>
  <c r="B227" i="3"/>
  <c r="F231" i="3"/>
  <c r="B231" i="3"/>
  <c r="F237" i="3"/>
  <c r="B237" i="3"/>
  <c r="F243" i="3"/>
  <c r="B243" i="3"/>
  <c r="F247" i="3"/>
  <c r="B247" i="3"/>
  <c r="F251" i="3"/>
  <c r="B251" i="3"/>
  <c r="F259" i="3"/>
  <c r="B259" i="3"/>
  <c r="F265" i="3"/>
  <c r="B265" i="3"/>
  <c r="F269" i="3"/>
  <c r="B269" i="3"/>
  <c r="F244" i="3"/>
  <c r="B244" i="3"/>
  <c r="F270" i="3"/>
  <c r="B270" i="3"/>
  <c r="F238" i="3"/>
  <c r="B238" i="3"/>
  <c r="F268" i="3"/>
  <c r="B268" i="3"/>
  <c r="F342" i="1"/>
  <c r="F358" i="1"/>
  <c r="F279" i="1"/>
  <c r="F140" i="1"/>
  <c r="F74" i="1"/>
  <c r="F46" i="1"/>
  <c r="F469" i="1"/>
  <c r="F448" i="1"/>
  <c r="F428" i="1"/>
  <c r="F397" i="1"/>
  <c r="F375" i="1"/>
  <c r="F389" i="1"/>
  <c r="F406" i="1"/>
  <c r="B150" i="3"/>
  <c r="B133" i="3"/>
  <c r="B129" i="3"/>
  <c r="B127" i="3"/>
  <c r="B125" i="3"/>
  <c r="B105" i="3"/>
  <c r="B99" i="3"/>
  <c r="B97" i="3"/>
  <c r="B55" i="3"/>
  <c r="B162" i="3"/>
  <c r="B132" i="3"/>
  <c r="B102" i="3"/>
  <c r="B94" i="3"/>
  <c r="F586" i="1"/>
  <c r="F508" i="1"/>
  <c r="F487" i="1"/>
  <c r="F461" i="1"/>
  <c r="F611" i="1"/>
  <c r="F528" i="1"/>
  <c r="F14" i="1"/>
  <c r="F496" i="1"/>
  <c r="F479" i="1"/>
  <c r="F623" i="1"/>
  <c r="F593" i="1"/>
  <c r="F441" i="1"/>
  <c r="F453" i="1"/>
  <c r="F525" i="1"/>
  <c r="F596" i="1"/>
  <c r="F213" i="3"/>
  <c r="B213" i="3"/>
  <c r="F215" i="3"/>
  <c r="B215" i="3"/>
  <c r="F219" i="3"/>
  <c r="B219" i="3"/>
  <c r="F228" i="3"/>
  <c r="B228" i="3"/>
  <c r="F230" i="3"/>
  <c r="B230" i="3"/>
  <c r="F232" i="3"/>
  <c r="B232" i="3"/>
  <c r="F234" i="3"/>
  <c r="B234" i="3"/>
  <c r="F236" i="3"/>
  <c r="B236" i="3"/>
  <c r="F240" i="3"/>
  <c r="B240" i="3"/>
  <c r="F242" i="3"/>
  <c r="B242" i="3"/>
  <c r="F246" i="3"/>
  <c r="B246" i="3"/>
  <c r="F248" i="3"/>
  <c r="B248" i="3"/>
  <c r="F250" i="3"/>
  <c r="B250" i="3"/>
  <c r="F252" i="3"/>
  <c r="B252" i="3"/>
  <c r="F256" i="3"/>
  <c r="B256" i="3"/>
  <c r="F258" i="3"/>
  <c r="B258" i="3"/>
  <c r="F260" i="3"/>
  <c r="B260" i="3"/>
  <c r="F262" i="3"/>
  <c r="B262" i="3"/>
  <c r="F264" i="3"/>
  <c r="B264" i="3"/>
  <c r="B160" i="3"/>
  <c r="F266" i="3"/>
  <c r="B266" i="3"/>
  <c r="B156" i="3"/>
  <c r="B154" i="3"/>
  <c r="B148" i="3"/>
  <c r="B145" i="3"/>
  <c r="B139" i="3"/>
  <c r="B137" i="3"/>
  <c r="B161" i="3"/>
  <c r="F254" i="3"/>
  <c r="B254" i="3"/>
  <c r="F139" i="1"/>
  <c r="B25" i="3"/>
  <c r="F4" i="3"/>
  <c r="H1454" i="37"/>
  <c r="C1154" i="37"/>
  <c r="G290" i="3"/>
  <c r="C620" i="37"/>
  <c r="G199" i="3"/>
  <c r="G211" i="3"/>
  <c r="E211" i="3"/>
  <c r="B211" i="3"/>
  <c r="G207" i="3"/>
  <c r="E207" i="3"/>
  <c r="B207" i="3"/>
  <c r="G178" i="3"/>
  <c r="E178" i="3"/>
  <c r="B178" i="3"/>
  <c r="H199" i="3"/>
  <c r="G203" i="3"/>
  <c r="E203" i="3"/>
  <c r="B203" i="3"/>
  <c r="D631" i="1"/>
  <c r="H510" i="37"/>
  <c r="G510" i="37"/>
  <c r="D412" i="37"/>
  <c r="E649" i="1"/>
  <c r="F649" i="1"/>
  <c r="D637" i="37"/>
  <c r="H637" i="37"/>
  <c r="D369" i="1"/>
  <c r="C358" i="37"/>
  <c r="H299" i="37"/>
  <c r="G299" i="37"/>
  <c r="D264" i="37"/>
  <c r="E269" i="1"/>
  <c r="D259" i="37"/>
  <c r="H954" i="37"/>
  <c r="G954" i="37"/>
  <c r="H836" i="37"/>
  <c r="G836" i="37"/>
  <c r="H826" i="37"/>
  <c r="G826" i="37"/>
  <c r="H792" i="37"/>
  <c r="G792" i="37"/>
  <c r="H766" i="37"/>
  <c r="G766" i="37"/>
  <c r="H744" i="37"/>
  <c r="G744" i="37"/>
  <c r="H652" i="37"/>
  <c r="G652" i="37"/>
  <c r="F293" i="1"/>
  <c r="F362" i="1"/>
  <c r="F68" i="1"/>
  <c r="F18" i="27"/>
  <c r="K49" i="42"/>
  <c r="E29" i="33"/>
  <c r="D42" i="36"/>
  <c r="G1423" i="37"/>
  <c r="H1423" i="37"/>
  <c r="E18" i="27"/>
  <c r="F124" i="27"/>
  <c r="F13" i="36"/>
  <c r="F225" i="1"/>
  <c r="H1007" i="37"/>
  <c r="H1475" i="37"/>
  <c r="D13" i="33"/>
  <c r="G1355" i="37"/>
  <c r="H1355" i="37"/>
  <c r="G1333" i="37"/>
  <c r="D1157" i="37"/>
  <c r="H1157" i="37"/>
  <c r="E182" i="27"/>
  <c r="C1184" i="37"/>
  <c r="D211" i="27"/>
  <c r="D1047" i="37"/>
  <c r="G1112" i="37"/>
  <c r="H1112" i="37"/>
  <c r="G1104" i="37"/>
  <c r="H1104" i="37"/>
  <c r="G1030" i="37"/>
  <c r="C1215" i="37"/>
  <c r="E586" i="1"/>
  <c r="D574" i="37"/>
  <c r="H549" i="37"/>
  <c r="C529" i="37"/>
  <c r="D535" i="1"/>
  <c r="D513" i="37"/>
  <c r="E521" i="1"/>
  <c r="D509" i="37"/>
  <c r="H475" i="37"/>
  <c r="G475" i="37"/>
  <c r="H457" i="37"/>
  <c r="G457" i="37"/>
  <c r="E402" i="1"/>
  <c r="D391" i="37"/>
  <c r="H397" i="37"/>
  <c r="G334" i="37"/>
  <c r="E202" i="1"/>
  <c r="D192" i="37"/>
  <c r="H243" i="37"/>
  <c r="G243" i="37"/>
  <c r="C212" i="37"/>
  <c r="D221" i="1"/>
  <c r="D130" i="37"/>
  <c r="E139" i="1"/>
  <c r="D129" i="37"/>
  <c r="H129" i="37"/>
  <c r="E112" i="1"/>
  <c r="D102" i="37"/>
  <c r="E50" i="1"/>
  <c r="D40" i="37"/>
  <c r="C130" i="37"/>
  <c r="H130" i="37"/>
  <c r="G204" i="3"/>
  <c r="E204" i="3"/>
  <c r="B204" i="3"/>
  <c r="G187" i="3"/>
  <c r="E187" i="3"/>
  <c r="B187" i="3"/>
  <c r="D149" i="37"/>
  <c r="G149" i="37"/>
  <c r="E158" i="1"/>
  <c r="D56" i="1"/>
  <c r="G1048" i="37"/>
  <c r="H1409" i="37"/>
  <c r="H1401" i="37"/>
  <c r="H1376" i="37"/>
  <c r="H1300" i="37"/>
  <c r="H1464" i="37"/>
  <c r="H1440" i="37"/>
  <c r="H1525" i="37"/>
  <c r="H1034" i="37"/>
  <c r="G1570" i="37"/>
  <c r="G1443" i="37"/>
  <c r="G1424" i="37"/>
  <c r="G1360" i="37"/>
  <c r="G1322" i="37"/>
  <c r="H1296" i="37"/>
  <c r="G1296" i="37"/>
  <c r="H1292" i="37"/>
  <c r="G1292" i="37"/>
  <c r="H1288" i="37"/>
  <c r="G1288" i="37"/>
  <c r="H1284" i="37"/>
  <c r="G1284" i="37"/>
  <c r="H1280" i="37"/>
  <c r="G1280" i="37"/>
  <c r="H1276" i="37"/>
  <c r="G1276" i="37"/>
  <c r="H1272" i="37"/>
  <c r="G1272" i="37"/>
  <c r="H1268" i="37"/>
  <c r="G1268" i="37"/>
  <c r="H1264" i="37"/>
  <c r="G1264" i="37"/>
  <c r="H1260" i="37"/>
  <c r="G1260" i="37"/>
  <c r="H1256" i="37"/>
  <c r="G1256" i="37"/>
  <c r="H1252" i="37"/>
  <c r="G1252" i="37"/>
  <c r="H1248" i="37"/>
  <c r="G1248" i="37"/>
  <c r="H1244" i="37"/>
  <c r="G1244" i="37"/>
  <c r="G1023" i="37"/>
  <c r="G1007" i="37"/>
  <c r="G991" i="37"/>
  <c r="G921" i="37"/>
  <c r="G915" i="37"/>
  <c r="G829" i="37"/>
  <c r="G763" i="37"/>
  <c r="G549" i="37"/>
  <c r="G283" i="37"/>
  <c r="G275" i="37"/>
  <c r="J44" i="42"/>
  <c r="G1096" i="37"/>
  <c r="H1096" i="37"/>
  <c r="G1142" i="37"/>
  <c r="H1142" i="37"/>
  <c r="D529" i="37"/>
  <c r="E535" i="1"/>
  <c r="H463" i="37"/>
  <c r="H441" i="37"/>
  <c r="G441" i="37"/>
  <c r="D359" i="37"/>
  <c r="G359" i="37"/>
  <c r="E369" i="1"/>
  <c r="D358" i="37"/>
  <c r="H351" i="37"/>
  <c r="G351" i="37"/>
  <c r="D295" i="37"/>
  <c r="G295" i="37"/>
  <c r="E305" i="1"/>
  <c r="H321" i="37"/>
  <c r="G321" i="37"/>
  <c r="D212" i="37"/>
  <c r="E221" i="1"/>
  <c r="D211" i="37"/>
  <c r="H211" i="37"/>
  <c r="D4" i="37"/>
  <c r="H40" i="37"/>
  <c r="G1384" i="37"/>
  <c r="G1013" i="37"/>
  <c r="H964" i="37"/>
  <c r="G964" i="37"/>
  <c r="H957" i="37"/>
  <c r="G957" i="37"/>
  <c r="H944" i="37"/>
  <c r="G944" i="37"/>
  <c r="F433" i="1"/>
  <c r="F83" i="1"/>
  <c r="E42" i="36"/>
  <c r="F263" i="27"/>
  <c r="F176" i="27"/>
  <c r="D121" i="36"/>
  <c r="F97" i="36"/>
  <c r="F35" i="36"/>
  <c r="H997" i="37"/>
  <c r="F152" i="27"/>
  <c r="F264" i="27"/>
  <c r="H1470" i="37"/>
  <c r="G1470" i="37"/>
  <c r="G1393" i="37"/>
  <c r="H1330" i="37"/>
  <c r="G1307" i="37"/>
  <c r="H1307" i="37"/>
  <c r="D1167" i="37"/>
  <c r="H292" i="3"/>
  <c r="D1066" i="37"/>
  <c r="E93" i="27"/>
  <c r="D1124" i="37"/>
  <c r="H1124" i="37"/>
  <c r="H288" i="3"/>
  <c r="H1550" i="37"/>
  <c r="G1550" i="37"/>
  <c r="C1501" i="37"/>
  <c r="D31" i="47"/>
  <c r="C1499" i="37"/>
  <c r="H1499" i="37"/>
  <c r="D599" i="37"/>
  <c r="E599" i="1"/>
  <c r="D587" i="37"/>
  <c r="H606" i="37"/>
  <c r="G606" i="37"/>
  <c r="H544" i="37"/>
  <c r="G544" i="37"/>
  <c r="H496" i="37"/>
  <c r="G496" i="37"/>
  <c r="H472" i="37"/>
  <c r="G472" i="37"/>
  <c r="D221" i="37"/>
  <c r="G221" i="37"/>
  <c r="H240" i="37"/>
  <c r="G240" i="37"/>
  <c r="H224" i="37"/>
  <c r="G224" i="37"/>
  <c r="H67" i="37"/>
  <c r="G67" i="37"/>
  <c r="C13" i="37"/>
  <c r="H13" i="37"/>
  <c r="H196" i="3"/>
  <c r="G196" i="3"/>
  <c r="E196" i="3"/>
  <c r="B196" i="3"/>
  <c r="G192" i="3"/>
  <c r="E192" i="3"/>
  <c r="B192" i="3"/>
  <c r="C460" i="37"/>
  <c r="H171" i="3"/>
  <c r="G171" i="3"/>
  <c r="E171" i="3"/>
  <c r="B171" i="3"/>
  <c r="H1416" i="37"/>
  <c r="H1412" i="37"/>
  <c r="H1461" i="37"/>
  <c r="H1445" i="37"/>
  <c r="G289" i="3"/>
  <c r="E289" i="3"/>
  <c r="B289" i="3"/>
  <c r="G1454" i="37"/>
  <c r="G1388" i="37"/>
  <c r="G1316" i="37"/>
  <c r="H1297" i="37"/>
  <c r="G1297" i="37"/>
  <c r="H1289" i="37"/>
  <c r="G1289" i="37"/>
  <c r="H1281" i="37"/>
  <c r="G1281" i="37"/>
  <c r="H1273" i="37"/>
  <c r="G1273" i="37"/>
  <c r="H1265" i="37"/>
  <c r="G1265" i="37"/>
  <c r="H1257" i="37"/>
  <c r="G1257" i="37"/>
  <c r="H1249" i="37"/>
  <c r="G1249" i="37"/>
  <c r="G1201" i="37"/>
  <c r="G1157" i="37"/>
  <c r="G1041" i="37"/>
  <c r="G1148" i="37"/>
  <c r="H1148" i="37"/>
  <c r="C1066" i="37"/>
  <c r="D93" i="27"/>
  <c r="C1223" i="37"/>
  <c r="D250" i="27"/>
  <c r="D1216" i="37"/>
  <c r="E243" i="27"/>
  <c r="H509" i="37"/>
  <c r="G509" i="37"/>
  <c r="C193" i="37"/>
  <c r="D202" i="1"/>
  <c r="F202" i="1"/>
  <c r="H73" i="37"/>
  <c r="G73" i="37"/>
  <c r="H1369" i="37"/>
  <c r="H1471" i="37"/>
  <c r="G1471" i="37"/>
  <c r="G463" i="37"/>
  <c r="H918" i="37"/>
  <c r="G918" i="37"/>
  <c r="H816" i="37"/>
  <c r="G816" i="37"/>
  <c r="H796" i="37"/>
  <c r="G796" i="37"/>
  <c r="H774" i="37"/>
  <c r="G774" i="37"/>
  <c r="H758" i="37"/>
  <c r="G758" i="37"/>
  <c r="F521" i="1"/>
  <c r="F522" i="1"/>
  <c r="F332" i="1"/>
  <c r="F50" i="1"/>
  <c r="F13" i="27"/>
  <c r="F229" i="27"/>
  <c r="D12" i="36"/>
  <c r="D96" i="36"/>
  <c r="F41" i="27"/>
  <c r="E121" i="36"/>
  <c r="E45" i="33"/>
  <c r="F51" i="27"/>
  <c r="F73" i="36"/>
  <c r="F310" i="1"/>
  <c r="F475" i="1"/>
  <c r="F632" i="1"/>
  <c r="F170" i="27"/>
  <c r="E263" i="27"/>
  <c r="D1235" i="37"/>
  <c r="G1235" i="37"/>
  <c r="G1236" i="37"/>
  <c r="H1236" i="37"/>
  <c r="H1438" i="37"/>
  <c r="G1438" i="37"/>
  <c r="G986" i="37"/>
  <c r="D1183" i="37"/>
  <c r="H293" i="3"/>
  <c r="H1211" i="37"/>
  <c r="C1168" i="37"/>
  <c r="D195" i="27"/>
  <c r="D181" i="27"/>
  <c r="G1084" i="37"/>
  <c r="H1084" i="37"/>
  <c r="C1047" i="37"/>
  <c r="D74" i="27"/>
  <c r="H1227" i="37"/>
  <c r="G1216" i="37"/>
  <c r="D56" i="47"/>
  <c r="D620" i="37"/>
  <c r="E631" i="1"/>
  <c r="D619" i="37"/>
  <c r="H623" i="37"/>
  <c r="G623" i="37"/>
  <c r="C599" i="37"/>
  <c r="D599" i="1"/>
  <c r="H584" i="37"/>
  <c r="G584" i="37"/>
  <c r="D573" i="1"/>
  <c r="H562" i="37"/>
  <c r="G562" i="37"/>
  <c r="E478" i="1"/>
  <c r="D466" i="37"/>
  <c r="E465" i="1"/>
  <c r="D453" i="37"/>
  <c r="E427" i="1"/>
  <c r="H513" i="37"/>
  <c r="G513" i="37"/>
  <c r="C489" i="37"/>
  <c r="D490" i="1"/>
  <c r="H449" i="37"/>
  <c r="G449" i="37"/>
  <c r="H424" i="37"/>
  <c r="G424" i="37"/>
  <c r="C411" i="37"/>
  <c r="D650" i="1"/>
  <c r="C392" i="37"/>
  <c r="D402" i="1"/>
  <c r="G378" i="37"/>
  <c r="H378" i="37"/>
  <c r="D357" i="1"/>
  <c r="C340" i="37"/>
  <c r="D350" i="1"/>
  <c r="H326" i="37"/>
  <c r="G326" i="37"/>
  <c r="D305" i="1"/>
  <c r="D249" i="37"/>
  <c r="E258" i="1"/>
  <c r="D248" i="37"/>
  <c r="H269" i="37"/>
  <c r="H198" i="37"/>
  <c r="G198" i="37"/>
  <c r="C165" i="37"/>
  <c r="D169" i="1"/>
  <c r="C159" i="37"/>
  <c r="C121" i="37"/>
  <c r="D130" i="1"/>
  <c r="H47" i="37"/>
  <c r="G47" i="37"/>
  <c r="H33" i="37"/>
  <c r="G33" i="37"/>
  <c r="C4" i="37"/>
  <c r="G4" i="37"/>
  <c r="G179" i="3"/>
  <c r="E179" i="3"/>
  <c r="B179" i="3"/>
  <c r="G166" i="3"/>
  <c r="E166" i="3"/>
  <c r="B166" i="3"/>
  <c r="D13" i="1"/>
  <c r="D479" i="37"/>
  <c r="G479" i="37"/>
  <c r="E490" i="1"/>
  <c r="D478" i="37"/>
  <c r="H1337" i="37"/>
  <c r="H1333" i="37"/>
  <c r="H1468" i="37"/>
  <c r="H1565" i="37"/>
  <c r="G288" i="3"/>
  <c r="E288" i="3"/>
  <c r="B288" i="3"/>
  <c r="E284" i="3"/>
  <c r="B284" i="3"/>
  <c r="G1580" i="37"/>
  <c r="C1576" i="37"/>
  <c r="H1576" i="37"/>
  <c r="G1467" i="37"/>
  <c r="G1463" i="37"/>
  <c r="H1439" i="37"/>
  <c r="G1439" i="37"/>
  <c r="G1211" i="37"/>
  <c r="G1019" i="37"/>
  <c r="G959" i="37"/>
  <c r="G831" i="37"/>
  <c r="G769" i="37"/>
  <c r="G571" i="37"/>
  <c r="G421" i="37"/>
  <c r="G215" i="37"/>
  <c r="H982" i="37"/>
  <c r="G982" i="37"/>
  <c r="H900" i="37"/>
  <c r="G900" i="37"/>
  <c r="H890" i="37"/>
  <c r="G890" i="37"/>
  <c r="H880" i="37"/>
  <c r="G880" i="37"/>
  <c r="H854" i="37"/>
  <c r="G854" i="37"/>
  <c r="H736" i="37"/>
  <c r="G736" i="37"/>
  <c r="H722" i="37"/>
  <c r="G722" i="37"/>
  <c r="H674" i="37"/>
  <c r="G674" i="37"/>
  <c r="H1466" i="37"/>
  <c r="H1462" i="37"/>
  <c r="H1442" i="37"/>
  <c r="H1295" i="37"/>
  <c r="H1291" i="37"/>
  <c r="H1287" i="37"/>
  <c r="H1283" i="37"/>
  <c r="H1279" i="37"/>
  <c r="H1275" i="37"/>
  <c r="H1271" i="37"/>
  <c r="H1267" i="37"/>
  <c r="H1263" i="37"/>
  <c r="H1259" i="37"/>
  <c r="H1255" i="37"/>
  <c r="H1251" i="37"/>
  <c r="H1247" i="37"/>
  <c r="H1243" i="37"/>
  <c r="G130" i="37"/>
  <c r="G61" i="37"/>
  <c r="G58" i="37"/>
  <c r="H970" i="37"/>
  <c r="H931" i="37"/>
  <c r="H906" i="37"/>
  <c r="H867" i="37"/>
  <c r="H842" i="37"/>
  <c r="H699" i="37"/>
  <c r="H694" i="37"/>
  <c r="H597" i="37"/>
  <c r="H581" i="37"/>
  <c r="C571" i="37"/>
  <c r="H571" i="37"/>
  <c r="G185" i="3"/>
  <c r="E185" i="3"/>
  <c r="B185" i="3"/>
  <c r="H537" i="37"/>
  <c r="C454" i="37"/>
  <c r="G182" i="3"/>
  <c r="E182" i="3"/>
  <c r="B182" i="3"/>
  <c r="C416" i="37"/>
  <c r="G209" i="3"/>
  <c r="E209" i="3"/>
  <c r="B209" i="3"/>
  <c r="G197" i="3"/>
  <c r="G201" i="3"/>
  <c r="E201" i="3"/>
  <c r="B201" i="3"/>
  <c r="G193" i="3"/>
  <c r="E193" i="3"/>
  <c r="B193" i="3"/>
  <c r="G189" i="3"/>
  <c r="E189" i="3"/>
  <c r="B189" i="3"/>
  <c r="H197" i="3"/>
  <c r="H343" i="37"/>
  <c r="H312" i="37"/>
  <c r="H295" i="37"/>
  <c r="H284" i="37"/>
  <c r="H264" i="37"/>
  <c r="H221" i="37"/>
  <c r="H135" i="37"/>
  <c r="H94" i="37"/>
  <c r="H41" i="37"/>
  <c r="C25" i="37"/>
  <c r="H479" i="37"/>
  <c r="H1216" i="37"/>
  <c r="H1120" i="37"/>
  <c r="H1056" i="37"/>
  <c r="G970" i="37"/>
  <c r="G960" i="37"/>
  <c r="G934" i="37"/>
  <c r="G906" i="37"/>
  <c r="G896" i="37"/>
  <c r="G870" i="37"/>
  <c r="G842" i="37"/>
  <c r="G832" i="37"/>
  <c r="G782" i="37"/>
  <c r="G752" i="37"/>
  <c r="G732" i="37"/>
  <c r="G728" i="37"/>
  <c r="G710" i="37"/>
  <c r="G702" i="37"/>
  <c r="G694" i="37"/>
  <c r="G680" i="37"/>
  <c r="G484" i="37"/>
  <c r="G436" i="37"/>
  <c r="G386" i="37"/>
  <c r="G312" i="37"/>
  <c r="G284" i="37"/>
  <c r="G264" i="37"/>
  <c r="G13" i="37"/>
  <c r="H947" i="37"/>
  <c r="H922" i="37"/>
  <c r="H883" i="37"/>
  <c r="H858" i="37"/>
  <c r="H819" i="37"/>
  <c r="H799" i="37"/>
  <c r="H593" i="37"/>
  <c r="H579" i="37"/>
  <c r="H568" i="37"/>
  <c r="H557" i="37"/>
  <c r="H532" i="37"/>
  <c r="C516" i="37"/>
  <c r="G202" i="3"/>
  <c r="E202" i="3"/>
  <c r="B202" i="3"/>
  <c r="G194" i="3"/>
  <c r="E194" i="3"/>
  <c r="B194" i="3"/>
  <c r="G190" i="3"/>
  <c r="E190" i="3"/>
  <c r="B190" i="3"/>
  <c r="H198" i="3"/>
  <c r="G206" i="3"/>
  <c r="E206" i="3"/>
  <c r="B206" i="3"/>
  <c r="G198" i="3"/>
  <c r="H501" i="37"/>
  <c r="D478" i="1"/>
  <c r="D465" i="1"/>
  <c r="D427" i="1"/>
  <c r="H429" i="37"/>
  <c r="H383" i="37"/>
  <c r="H331" i="37"/>
  <c r="D269" i="1"/>
  <c r="D230" i="1"/>
  <c r="C220" i="37"/>
  <c r="H136" i="37"/>
  <c r="H64" i="37"/>
  <c r="H50" i="37"/>
  <c r="C588" i="37"/>
  <c r="G195" i="3"/>
  <c r="E195" i="3"/>
  <c r="B195" i="3"/>
  <c r="G177" i="3"/>
  <c r="E177" i="3"/>
  <c r="B177" i="3"/>
  <c r="G191" i="3"/>
  <c r="E191" i="3"/>
  <c r="B191" i="3"/>
  <c r="C524" i="37"/>
  <c r="G175" i="3"/>
  <c r="E175" i="3"/>
  <c r="B175" i="3"/>
  <c r="G210" i="3"/>
  <c r="E210" i="3"/>
  <c r="B210" i="3"/>
  <c r="G155" i="37"/>
  <c r="G94" i="37"/>
  <c r="G36" i="37"/>
  <c r="H963" i="37"/>
  <c r="H938" i="37"/>
  <c r="H899" i="37"/>
  <c r="H874" i="37"/>
  <c r="H835" i="37"/>
  <c r="H786" i="37"/>
  <c r="H735" i="37"/>
  <c r="H974" i="37"/>
  <c r="H958" i="37"/>
  <c r="H942" i="37"/>
  <c r="H926" i="37"/>
  <c r="H910" i="37"/>
  <c r="H894" i="37"/>
  <c r="H878" i="37"/>
  <c r="H862" i="37"/>
  <c r="H846" i="37"/>
  <c r="H830" i="37"/>
  <c r="H811" i="37"/>
  <c r="H806" i="37"/>
  <c r="H770" i="37"/>
  <c r="H747" i="37"/>
  <c r="H742" i="37"/>
  <c r="H706" i="37"/>
  <c r="H683" i="37"/>
  <c r="H678" i="37"/>
  <c r="G64" i="37"/>
  <c r="G40" i="37"/>
  <c r="H962" i="37"/>
  <c r="H946" i="37"/>
  <c r="H930" i="37"/>
  <c r="H914" i="37"/>
  <c r="H898" i="37"/>
  <c r="H882" i="37"/>
  <c r="H866" i="37"/>
  <c r="H850" i="37"/>
  <c r="H834" i="37"/>
  <c r="H795" i="37"/>
  <c r="H790" i="37"/>
  <c r="H754" i="37"/>
  <c r="H731" i="37"/>
  <c r="H726" i="37"/>
  <c r="H690" i="37"/>
  <c r="H667" i="37"/>
  <c r="H662" i="37"/>
  <c r="H810" i="37"/>
  <c r="H794" i="37"/>
  <c r="H778" i="37"/>
  <c r="H762" i="37"/>
  <c r="H746" i="37"/>
  <c r="H730" i="37"/>
  <c r="H714" i="37"/>
  <c r="H698" i="37"/>
  <c r="H682" i="37"/>
  <c r="H666" i="37"/>
  <c r="H650" i="37"/>
  <c r="E69" i="3"/>
  <c r="B69" i="3"/>
  <c r="E53" i="3"/>
  <c r="B53" i="3"/>
  <c r="E37" i="3"/>
  <c r="B37" i="3"/>
  <c r="E28" i="3"/>
  <c r="B28" i="3"/>
  <c r="G277" i="3"/>
  <c r="E277" i="3"/>
  <c r="C1153" i="37"/>
  <c r="F181" i="27"/>
  <c r="J46" i="42"/>
  <c r="C259" i="37"/>
  <c r="F269" i="1"/>
  <c r="C466" i="37"/>
  <c r="F478" i="1"/>
  <c r="H524" i="37"/>
  <c r="G524" i="37"/>
  <c r="H588" i="37"/>
  <c r="G588" i="37"/>
  <c r="G164" i="3"/>
  <c r="E164" i="3"/>
  <c r="B164" i="3"/>
  <c r="C294" i="37"/>
  <c r="D304" i="1"/>
  <c r="F305" i="1"/>
  <c r="H340" i="37"/>
  <c r="G340" i="37"/>
  <c r="C391" i="37"/>
  <c r="F402" i="1"/>
  <c r="C1524" i="37"/>
  <c r="H1047" i="37"/>
  <c r="G1047" i="37"/>
  <c r="G1168" i="37"/>
  <c r="H1168" i="37"/>
  <c r="D1469" i="37"/>
  <c r="K57" i="42"/>
  <c r="C1299" i="37"/>
  <c r="F12" i="36"/>
  <c r="J49" i="42"/>
  <c r="D148" i="36"/>
  <c r="D1215" i="37"/>
  <c r="E242" i="27"/>
  <c r="C1065" i="37"/>
  <c r="G287" i="3"/>
  <c r="F93" i="27"/>
  <c r="H1235" i="37"/>
  <c r="H212" i="37"/>
  <c r="G212" i="37"/>
  <c r="H1215" i="37"/>
  <c r="G1215" i="37"/>
  <c r="C1183" i="37"/>
  <c r="G293" i="3"/>
  <c r="E293" i="3"/>
  <c r="B293" i="3"/>
  <c r="F211" i="27"/>
  <c r="C1437" i="37"/>
  <c r="D12" i="33"/>
  <c r="G129" i="37"/>
  <c r="H620" i="37"/>
  <c r="G620" i="37"/>
  <c r="G1124" i="37"/>
  <c r="C415" i="37"/>
  <c r="D426" i="1"/>
  <c r="F427" i="1"/>
  <c r="E198" i="3"/>
  <c r="B198" i="3"/>
  <c r="E197" i="3"/>
  <c r="B197" i="3"/>
  <c r="H454" i="37"/>
  <c r="G454" i="37"/>
  <c r="C3" i="37"/>
  <c r="C120" i="37"/>
  <c r="C346" i="37"/>
  <c r="F357" i="1"/>
  <c r="H392" i="37"/>
  <c r="G392" i="37"/>
  <c r="D1408" i="37"/>
  <c r="K52" i="42"/>
  <c r="G1066" i="37"/>
  <c r="H1066" i="37"/>
  <c r="H460" i="37"/>
  <c r="G460" i="37"/>
  <c r="D1329" i="37"/>
  <c r="K50" i="42"/>
  <c r="D148" i="37"/>
  <c r="H148" i="37"/>
  <c r="C523" i="37"/>
  <c r="D534" i="1"/>
  <c r="F535" i="1"/>
  <c r="G1184" i="37"/>
  <c r="H1184" i="37"/>
  <c r="C1329" i="37"/>
  <c r="J50" i="42"/>
  <c r="F42" i="36"/>
  <c r="C619" i="37"/>
  <c r="F631" i="1"/>
  <c r="C453" i="37"/>
  <c r="F465" i="1"/>
  <c r="C638" i="37"/>
  <c r="F650" i="1"/>
  <c r="C478" i="37"/>
  <c r="F490" i="1"/>
  <c r="D415" i="37"/>
  <c r="E426" i="1"/>
  <c r="C587" i="37"/>
  <c r="F599" i="1"/>
  <c r="C192" i="37"/>
  <c r="C1222" i="37"/>
  <c r="F250" i="27"/>
  <c r="D1065" i="37"/>
  <c r="H287" i="3"/>
  <c r="C1408" i="37"/>
  <c r="F121" i="36"/>
  <c r="J52" i="42"/>
  <c r="E148" i="36"/>
  <c r="D294" i="37"/>
  <c r="H529" i="37"/>
  <c r="G529" i="37"/>
  <c r="E74" i="27"/>
  <c r="D1154" i="37"/>
  <c r="G1154" i="37"/>
  <c r="E181" i="27"/>
  <c r="H290" i="3"/>
  <c r="E290" i="3"/>
  <c r="B290" i="3"/>
  <c r="D990" i="37"/>
  <c r="E13" i="27"/>
  <c r="K56" i="42"/>
  <c r="D1453" i="37"/>
  <c r="E12" i="33"/>
  <c r="H1154" i="37"/>
  <c r="H516" i="37"/>
  <c r="G516" i="37"/>
  <c r="H416" i="37"/>
  <c r="G416" i="37"/>
  <c r="H249" i="37"/>
  <c r="G249" i="37"/>
  <c r="C339" i="37"/>
  <c r="F350" i="1"/>
  <c r="H489" i="37"/>
  <c r="G489" i="37"/>
  <c r="C561" i="37"/>
  <c r="F573" i="1"/>
  <c r="H599" i="37"/>
  <c r="G599" i="37"/>
  <c r="C1046" i="37"/>
  <c r="J45" i="42"/>
  <c r="F74" i="27"/>
  <c r="C1167" i="37"/>
  <c r="G292" i="3"/>
  <c r="E292" i="3"/>
  <c r="B292" i="3"/>
  <c r="F195" i="27"/>
  <c r="C1383" i="37"/>
  <c r="F96" i="36"/>
  <c r="H193" i="37"/>
  <c r="G193" i="37"/>
  <c r="H1223" i="37"/>
  <c r="G1223" i="37"/>
  <c r="H1501" i="37"/>
  <c r="G1501" i="37"/>
  <c r="D12" i="27"/>
  <c r="D523" i="37"/>
  <c r="E534" i="1"/>
  <c r="C46" i="37"/>
  <c r="C211" i="37"/>
  <c r="F221" i="1"/>
  <c r="D242" i="27"/>
  <c r="E199" i="3"/>
  <c r="B199" i="3"/>
  <c r="C1214" i="37"/>
  <c r="J47" i="42"/>
  <c r="F242" i="27"/>
  <c r="D1153" i="37"/>
  <c r="E180" i="27"/>
  <c r="D1152" i="37"/>
  <c r="K46" i="42"/>
  <c r="H1408" i="37"/>
  <c r="G1408" i="37"/>
  <c r="D414" i="37"/>
  <c r="E641" i="1"/>
  <c r="D629" i="37"/>
  <c r="C414" i="37"/>
  <c r="D641" i="1"/>
  <c r="F641" i="1"/>
  <c r="F426" i="1"/>
  <c r="B29" i="42"/>
  <c r="G1299" i="37"/>
  <c r="H1299" i="37"/>
  <c r="G1524" i="37"/>
  <c r="H1524" i="37"/>
  <c r="H561" i="37"/>
  <c r="G561" i="37"/>
  <c r="D985" i="37"/>
  <c r="K44" i="42"/>
  <c r="E12" i="27"/>
  <c r="D1435" i="37"/>
  <c r="K53" i="42"/>
  <c r="H453" i="37"/>
  <c r="G453" i="37"/>
  <c r="H415" i="37"/>
  <c r="G415" i="37"/>
  <c r="E287" i="3"/>
  <c r="B287" i="3"/>
  <c r="C1435" i="37"/>
  <c r="J53" i="42"/>
  <c r="F148" i="36"/>
  <c r="H466" i="37"/>
  <c r="G466" i="37"/>
  <c r="D522" i="37"/>
  <c r="E642" i="1"/>
  <c r="D630" i="37"/>
  <c r="D1046" i="37"/>
  <c r="G1046" i="37"/>
  <c r="K45" i="42"/>
  <c r="G1329" i="37"/>
  <c r="H1329" i="37"/>
  <c r="C522" i="37"/>
  <c r="D642" i="1"/>
  <c r="F642" i="1"/>
  <c r="F534" i="1"/>
  <c r="C1436" i="37"/>
  <c r="J55" i="42"/>
  <c r="H1183" i="37"/>
  <c r="G1183" i="37"/>
  <c r="H1065" i="37"/>
  <c r="G1065" i="37"/>
  <c r="H1469" i="37"/>
  <c r="G1469" i="37"/>
  <c r="H391" i="37"/>
  <c r="G391" i="37"/>
  <c r="C293" i="37"/>
  <c r="D180" i="27"/>
  <c r="G276" i="3"/>
  <c r="H1167" i="37"/>
  <c r="G1167" i="37"/>
  <c r="D1436" i="37"/>
  <c r="K55" i="42"/>
  <c r="G990" i="37"/>
  <c r="H990" i="37"/>
  <c r="C984" i="37"/>
  <c r="G282" i="3"/>
  <c r="E282" i="3"/>
  <c r="B282" i="3"/>
  <c r="F12" i="27"/>
  <c r="G1383" i="37"/>
  <c r="H1383" i="37"/>
  <c r="H339" i="37"/>
  <c r="G339" i="37"/>
  <c r="H1453" i="37"/>
  <c r="G1453" i="37"/>
  <c r="G1222" i="37"/>
  <c r="H1222" i="37"/>
  <c r="H587" i="37"/>
  <c r="G587" i="37"/>
  <c r="H478" i="37"/>
  <c r="G478" i="37"/>
  <c r="H619" i="37"/>
  <c r="G619" i="37"/>
  <c r="H523" i="37"/>
  <c r="G523" i="37"/>
  <c r="H346" i="37"/>
  <c r="G346" i="37"/>
  <c r="H1437" i="37"/>
  <c r="G1437" i="37"/>
  <c r="D1214" i="37"/>
  <c r="K47" i="42"/>
  <c r="H294" i="37"/>
  <c r="G294" i="37"/>
  <c r="G1153" i="37"/>
  <c r="H1153" i="37"/>
  <c r="G303" i="3"/>
  <c r="E303" i="3"/>
  <c r="H414" i="37"/>
  <c r="G414" i="37"/>
  <c r="D984" i="37"/>
  <c r="H984" i="37"/>
  <c r="H276" i="3"/>
  <c r="E276" i="3"/>
  <c r="G1214" i="37"/>
  <c r="H1214" i="37"/>
  <c r="G984" i="37"/>
  <c r="G1436" i="37"/>
  <c r="D4" i="33"/>
  <c r="L36" i="37"/>
  <c r="H1436" i="37"/>
  <c r="G301" i="3"/>
  <c r="E301" i="3"/>
  <c r="B301" i="3"/>
  <c r="H1435" i="37"/>
  <c r="G1435" i="37"/>
  <c r="E4" i="36"/>
  <c r="L35" i="37"/>
  <c r="G304" i="3"/>
  <c r="E304" i="3"/>
  <c r="B304" i="3"/>
  <c r="H1046" i="37"/>
  <c r="C1152" i="37"/>
  <c r="F180" i="27"/>
  <c r="G522" i="37"/>
  <c r="H522" i="37"/>
  <c r="G985" i="37"/>
  <c r="H985" i="37"/>
  <c r="K3" i="3"/>
  <c r="L4" i="37"/>
  <c r="K4" i="37"/>
  <c r="C629" i="37"/>
  <c r="H629" i="37"/>
  <c r="B276" i="3"/>
  <c r="E302" i="3"/>
  <c r="E29" i="42"/>
  <c r="B303" i="3"/>
  <c r="G1152" i="37"/>
  <c r="H1152" i="37"/>
  <c r="G283" i="3"/>
  <c r="E283" i="3"/>
  <c r="B27" i="42"/>
  <c r="E4" i="27"/>
  <c r="L34" i="37"/>
  <c r="G300" i="3"/>
  <c r="E300" i="3"/>
  <c r="B300" i="3"/>
  <c r="G299" i="3"/>
  <c r="E299" i="3"/>
  <c r="B283" i="3"/>
  <c r="E298" i="3"/>
  <c r="E31" i="42"/>
  <c r="B299" i="3"/>
  <c r="M3" i="3"/>
  <c r="L3" i="37"/>
  <c r="K3" i="37"/>
  <c r="H820" i="37"/>
  <c r="G818" i="37"/>
  <c r="H812" i="37"/>
  <c r="G648" i="37"/>
  <c r="G575" i="37"/>
  <c r="H575" i="37"/>
  <c r="G574" i="37"/>
  <c r="H574" i="37"/>
  <c r="C630" i="37"/>
  <c r="G629" i="37"/>
  <c r="D356" i="1"/>
  <c r="C345" i="37"/>
  <c r="H412" i="37"/>
  <c r="G412" i="37"/>
  <c r="G637" i="37"/>
  <c r="C248" i="37"/>
  <c r="H232" i="37"/>
  <c r="H149" i="37"/>
  <c r="D158" i="1"/>
  <c r="D112" i="1"/>
  <c r="C102" i="37"/>
  <c r="D88" i="1"/>
  <c r="C78" i="37"/>
  <c r="H4" i="37"/>
  <c r="G5" i="3"/>
  <c r="E5" i="3"/>
  <c r="B5" i="3"/>
  <c r="I7" i="3"/>
  <c r="E275" i="3"/>
  <c r="E27" i="42"/>
  <c r="B277" i="3"/>
  <c r="G183" i="3"/>
  <c r="G170" i="3"/>
  <c r="E170" i="3"/>
  <c r="B170" i="3"/>
  <c r="T6" i="3"/>
  <c r="H183" i="3"/>
  <c r="E7" i="3"/>
  <c r="B7" i="3"/>
  <c r="G172" i="3"/>
  <c r="E172" i="3"/>
  <c r="B172" i="3"/>
  <c r="G184" i="3"/>
  <c r="E184" i="3"/>
  <c r="B184" i="3"/>
  <c r="G174" i="3"/>
  <c r="E174" i="3"/>
  <c r="B174" i="3"/>
  <c r="H630" i="37"/>
  <c r="G630" i="37"/>
  <c r="D414" i="1"/>
  <c r="D413" i="1"/>
  <c r="D157" i="1"/>
  <c r="C148" i="37"/>
  <c r="D12" i="1"/>
  <c r="J39" i="42"/>
  <c r="E183" i="3"/>
  <c r="B183" i="3"/>
  <c r="G167" i="3"/>
  <c r="E167" i="3"/>
  <c r="B167" i="3"/>
  <c r="C402" i="37"/>
  <c r="F413" i="1"/>
  <c r="C403" i="37"/>
  <c r="D295" i="1"/>
  <c r="D296" i="1"/>
  <c r="J40" i="42"/>
  <c r="C147" i="37"/>
  <c r="D418" i="1"/>
  <c r="C2" i="37"/>
  <c r="D419" i="1"/>
  <c r="D421" i="1"/>
  <c r="C285" i="37"/>
  <c r="D297" i="1"/>
  <c r="C287" i="37"/>
  <c r="C286" i="37"/>
  <c r="C407" i="37"/>
  <c r="D645" i="1"/>
  <c r="F297" i="1"/>
  <c r="D420" i="1"/>
  <c r="C409" i="37"/>
  <c r="C408" i="37"/>
  <c r="D646" i="1"/>
  <c r="D647" i="1"/>
  <c r="F421" i="1"/>
  <c r="C410" i="37"/>
  <c r="C633" i="37"/>
  <c r="D648" i="1"/>
  <c r="F648" i="1"/>
  <c r="C634" i="37"/>
  <c r="C635" i="37"/>
  <c r="C636" i="37"/>
  <c r="D652" i="1"/>
  <c r="F652" i="1"/>
  <c r="D651" i="1"/>
  <c r="J42" i="42"/>
  <c r="Q19" i="3"/>
  <c r="C639" i="37"/>
  <c r="C640" i="37"/>
  <c r="J41" i="42"/>
  <c r="G1578" i="37"/>
  <c r="G1576" i="37"/>
  <c r="D50" i="47"/>
  <c r="C1518" i="37"/>
  <c r="G1518" i="37"/>
  <c r="H1530" i="37"/>
  <c r="G1530" i="37"/>
  <c r="G1520" i="37"/>
  <c r="H1519" i="37"/>
  <c r="G1519" i="37"/>
  <c r="G1499" i="37"/>
  <c r="H1483" i="37"/>
  <c r="G1483" i="37"/>
  <c r="D13" i="47"/>
  <c r="G821" i="37"/>
  <c r="G809" i="37"/>
  <c r="G756" i="37"/>
  <c r="G692" i="37"/>
  <c r="G658" i="37"/>
  <c r="G655" i="37"/>
  <c r="B26" i="3"/>
  <c r="H647" i="37"/>
  <c r="F658" i="1"/>
  <c r="H645" i="37"/>
  <c r="G645" i="37"/>
  <c r="H373" i="37"/>
  <c r="G373" i="37"/>
  <c r="G364" i="37"/>
  <c r="H364" i="37"/>
  <c r="H358" i="37"/>
  <c r="G358" i="37"/>
  <c r="F369" i="1"/>
  <c r="E356" i="1"/>
  <c r="H359" i="37"/>
  <c r="E317" i="1"/>
  <c r="D307" i="37"/>
  <c r="G411" i="37"/>
  <c r="H411" i="37"/>
  <c r="G638" i="37"/>
  <c r="H638" i="37"/>
  <c r="F422" i="1"/>
  <c r="H413" i="37"/>
  <c r="G413" i="37"/>
  <c r="F424" i="1"/>
  <c r="G259" i="37"/>
  <c r="H259" i="37"/>
  <c r="H260" i="37"/>
  <c r="G255" i="37"/>
  <c r="H255" i="37"/>
  <c r="H248" i="37"/>
  <c r="G248" i="37"/>
  <c r="F258" i="1"/>
  <c r="G236" i="37"/>
  <c r="E230" i="1"/>
  <c r="H229" i="37"/>
  <c r="F237" i="1"/>
  <c r="G227" i="37"/>
  <c r="G211" i="37"/>
  <c r="G192" i="37"/>
  <c r="H192" i="37"/>
  <c r="H206" i="37"/>
  <c r="G206" i="37"/>
  <c r="G188" i="37"/>
  <c r="H184" i="37"/>
  <c r="G184" i="37"/>
  <c r="F194" i="1"/>
  <c r="G181" i="37"/>
  <c r="G179" i="37"/>
  <c r="F183" i="1"/>
  <c r="G173" i="37"/>
  <c r="G168" i="37"/>
  <c r="G160" i="37"/>
  <c r="H160" i="37"/>
  <c r="G163" i="37"/>
  <c r="H161" i="37"/>
  <c r="H24" i="3"/>
  <c r="G148" i="37"/>
  <c r="G24" i="3"/>
  <c r="F158" i="1"/>
  <c r="H124" i="37"/>
  <c r="G124" i="37"/>
  <c r="G121" i="37"/>
  <c r="H121" i="37"/>
  <c r="E130" i="1"/>
  <c r="G116" i="37"/>
  <c r="G113" i="37"/>
  <c r="G108" i="37"/>
  <c r="G103" i="37"/>
  <c r="H103" i="37"/>
  <c r="H102" i="37"/>
  <c r="G102" i="37"/>
  <c r="F112" i="1"/>
  <c r="F113" i="1"/>
  <c r="H87" i="37"/>
  <c r="G87" i="37"/>
  <c r="E88" i="1"/>
  <c r="D78" i="37"/>
  <c r="H78" i="37"/>
  <c r="F97" i="1"/>
  <c r="G89" i="37"/>
  <c r="H79" i="37"/>
  <c r="G79" i="37"/>
  <c r="H70" i="37"/>
  <c r="G70" i="37"/>
  <c r="F80" i="1"/>
  <c r="F65" i="1"/>
  <c r="G55" i="37"/>
  <c r="H55" i="37"/>
  <c r="E56" i="1"/>
  <c r="F35" i="1"/>
  <c r="G25" i="37"/>
  <c r="H25" i="37"/>
  <c r="G200" i="3"/>
  <c r="E200" i="3"/>
  <c r="B200" i="3"/>
  <c r="G180" i="3"/>
  <c r="E180" i="3"/>
  <c r="B180" i="3"/>
  <c r="H19" i="37"/>
  <c r="G19" i="37"/>
  <c r="G205" i="3"/>
  <c r="E205" i="3"/>
  <c r="B205" i="3"/>
  <c r="G168" i="3"/>
  <c r="E168" i="3"/>
  <c r="B168" i="3"/>
  <c r="G188" i="3"/>
  <c r="E188" i="3"/>
  <c r="B188" i="3"/>
  <c r="G208" i="3"/>
  <c r="E208" i="3"/>
  <c r="B208" i="3"/>
  <c r="G181" i="3"/>
  <c r="E181" i="3"/>
  <c r="B181" i="3"/>
  <c r="E13" i="1"/>
  <c r="F29" i="1"/>
  <c r="H1518" i="37"/>
  <c r="K62" i="42"/>
  <c r="C1481" i="37"/>
  <c r="D49" i="47"/>
  <c r="D345" i="37"/>
  <c r="F356" i="1"/>
  <c r="H307" i="37"/>
  <c r="G307" i="37"/>
  <c r="D306" i="37"/>
  <c r="F317" i="1"/>
  <c r="E304" i="1"/>
  <c r="D220" i="37"/>
  <c r="F230" i="1"/>
  <c r="D120" i="37"/>
  <c r="F130" i="1"/>
  <c r="G78" i="37"/>
  <c r="F88" i="1"/>
  <c r="D46" i="37"/>
  <c r="F56" i="1"/>
  <c r="E12" i="1"/>
  <c r="D3" i="37"/>
  <c r="F13" i="1"/>
  <c r="C1517" i="37"/>
  <c r="B33" i="42"/>
  <c r="G297" i="3"/>
  <c r="E297" i="3"/>
  <c r="B297" i="3"/>
  <c r="K61" i="42"/>
  <c r="G1481" i="37"/>
  <c r="H1481" i="37"/>
  <c r="G296" i="3"/>
  <c r="E296" i="3"/>
  <c r="B296" i="3"/>
  <c r="H345" i="37"/>
  <c r="G345" i="37"/>
  <c r="E413" i="1"/>
  <c r="D402" i="37"/>
  <c r="F304" i="1"/>
  <c r="E414" i="1"/>
  <c r="D293" i="37"/>
  <c r="G306" i="37"/>
  <c r="H306" i="37"/>
  <c r="G220" i="37"/>
  <c r="H220" i="37"/>
  <c r="G120" i="37"/>
  <c r="H120" i="37"/>
  <c r="G46" i="37"/>
  <c r="H46" i="37"/>
  <c r="G3" i="37"/>
  <c r="H3" i="37"/>
  <c r="E418" i="1"/>
  <c r="K39" i="42"/>
  <c r="D2" i="37"/>
  <c r="F12" i="1"/>
  <c r="N3" i="3"/>
  <c r="K6" i="37"/>
  <c r="H1517" i="37"/>
  <c r="G295" i="3"/>
  <c r="E295" i="3"/>
  <c r="G1517" i="37"/>
  <c r="C4" i="47"/>
  <c r="L37" i="37"/>
  <c r="D403" i="37"/>
  <c r="F414" i="1"/>
  <c r="G293" i="37"/>
  <c r="H293" i="37"/>
  <c r="G402" i="37"/>
  <c r="H402" i="37"/>
  <c r="E645" i="1"/>
  <c r="D407" i="37"/>
  <c r="F418" i="1"/>
  <c r="G2" i="37"/>
  <c r="H2" i="37"/>
  <c r="E294" i="3"/>
  <c r="E33" i="42"/>
  <c r="B295" i="3"/>
  <c r="G403" i="37"/>
  <c r="H403" i="37"/>
  <c r="H407" i="37"/>
  <c r="G407" i="37"/>
  <c r="F645" i="1"/>
  <c r="D633" i="37"/>
  <c r="G633" i="37"/>
  <c r="H633" i="37"/>
  <c r="E24" i="3"/>
  <c r="B24" i="3"/>
  <c r="B274" i="3"/>
  <c r="G649" i="37"/>
  <c r="E169" i="1"/>
  <c r="D159" i="37"/>
  <c r="H165" i="37"/>
  <c r="G165" i="37"/>
  <c r="H159" i="37"/>
  <c r="G159" i="37"/>
  <c r="F169" i="1"/>
  <c r="F175" i="1"/>
  <c r="E157" i="1"/>
  <c r="F157" i="1"/>
  <c r="E295" i="1"/>
  <c r="D147" i="37"/>
  <c r="K40" i="42"/>
  <c r="G147" i="37"/>
  <c r="H147" i="37"/>
  <c r="E297" i="1"/>
  <c r="D287" i="37"/>
  <c r="E419" i="1"/>
  <c r="E296" i="1"/>
  <c r="D285" i="37"/>
  <c r="F295" i="1"/>
  <c r="H287" i="37"/>
  <c r="G287" i="37"/>
  <c r="G285" i="37"/>
  <c r="H285" i="37"/>
  <c r="D286" i="37"/>
  <c r="F296" i="1"/>
  <c r="E420" i="1"/>
  <c r="E421" i="1"/>
  <c r="D410" i="37"/>
  <c r="D408" i="37"/>
  <c r="F419" i="1"/>
  <c r="E646" i="1"/>
  <c r="H408" i="37"/>
  <c r="G408" i="37"/>
  <c r="G286" i="37"/>
  <c r="H286" i="37"/>
  <c r="H410" i="37"/>
  <c r="G410" i="37"/>
  <c r="E648" i="1"/>
  <c r="E647" i="1"/>
  <c r="D634" i="37"/>
  <c r="F646" i="1"/>
  <c r="F420" i="1"/>
  <c r="D409" i="37"/>
  <c r="D636" i="37"/>
  <c r="E652" i="1"/>
  <c r="G634" i="37"/>
  <c r="H634" i="37"/>
  <c r="G409" i="37"/>
  <c r="H409" i="37"/>
  <c r="D635" i="37"/>
  <c r="F647" i="1"/>
  <c r="E651" i="1"/>
  <c r="H635" i="37"/>
  <c r="G635" i="37"/>
  <c r="B25" i="42"/>
  <c r="D640" i="37"/>
  <c r="K42" i="42"/>
  <c r="K41" i="42"/>
  <c r="D639" i="37"/>
  <c r="F651" i="1"/>
  <c r="G636" i="37"/>
  <c r="H636" i="37"/>
  <c r="L2" i="37"/>
  <c r="J3" i="3"/>
  <c r="K2" i="37"/>
  <c r="H639" i="37"/>
  <c r="G639" i="37"/>
  <c r="G640" i="37"/>
  <c r="E4" i="1"/>
  <c r="L33" i="37"/>
  <c r="H640" i="37"/>
  <c r="H165" i="3"/>
  <c r="G165" i="3"/>
  <c r="E165" i="3"/>
  <c r="L28" i="37"/>
  <c r="G8" i="3"/>
  <c r="E8" i="3"/>
  <c r="B8" i="3"/>
  <c r="K29" i="37"/>
  <c r="H21" i="3"/>
  <c r="K16" i="3"/>
  <c r="I15" i="3"/>
  <c r="M19" i="3"/>
  <c r="H19" i="3"/>
  <c r="G21" i="3"/>
  <c r="L272" i="3"/>
  <c r="J16" i="3"/>
  <c r="M20" i="3"/>
  <c r="I16" i="3"/>
  <c r="I21" i="3"/>
  <c r="I9" i="3"/>
  <c r="J11" i="3"/>
  <c r="H20" i="3"/>
  <c r="L20" i="3"/>
  <c r="G20" i="3"/>
  <c r="E20" i="3"/>
  <c r="I12" i="3"/>
  <c r="K13" i="3"/>
  <c r="I11" i="3"/>
  <c r="J13" i="3"/>
  <c r="J9" i="3"/>
  <c r="J15" i="3"/>
  <c r="K10" i="3"/>
  <c r="J21" i="3"/>
  <c r="I10" i="3"/>
  <c r="K9" i="3"/>
  <c r="G19" i="3"/>
  <c r="M272" i="3"/>
  <c r="J14" i="3"/>
  <c r="K17" i="3"/>
  <c r="K11" i="3"/>
  <c r="H6" i="3"/>
  <c r="E6" i="3"/>
  <c r="L19" i="3"/>
  <c r="K15" i="3"/>
  <c r="K14" i="3"/>
  <c r="G22" i="3"/>
  <c r="H22" i="3"/>
  <c r="K12" i="3"/>
  <c r="J12" i="3"/>
  <c r="I17" i="3"/>
  <c r="J10" i="3"/>
  <c r="I13" i="3"/>
  <c r="J17" i="3"/>
  <c r="J6" i="42"/>
  <c r="K28" i="37"/>
  <c r="B165" i="3"/>
  <c r="L29" i="37"/>
  <c r="E15" i="3"/>
  <c r="B15" i="3"/>
  <c r="E22" i="3"/>
  <c r="B22" i="3"/>
  <c r="E19" i="3"/>
  <c r="F20" i="3"/>
  <c r="B20" i="3"/>
  <c r="F272" i="3"/>
  <c r="B272" i="3"/>
  <c r="E13" i="3"/>
  <c r="B13" i="3"/>
  <c r="E11" i="3"/>
  <c r="B11" i="3"/>
  <c r="E16" i="3"/>
  <c r="B16" i="3"/>
  <c r="E21" i="3"/>
  <c r="B21" i="3"/>
  <c r="F19" i="3"/>
  <c r="E14" i="3"/>
  <c r="B14" i="3"/>
  <c r="E10" i="3"/>
  <c r="B10" i="3"/>
  <c r="E12" i="3"/>
  <c r="B12" i="3"/>
  <c r="E17" i="3"/>
  <c r="B17" i="3"/>
  <c r="B6" i="3"/>
  <c r="E9" i="3"/>
  <c r="B9" i="3"/>
  <c r="F18" i="3"/>
  <c r="E18" i="3"/>
  <c r="B19" i="3"/>
  <c r="E4" i="3"/>
  <c r="F23" i="3" l="1"/>
  <c r="F3" i="3" s="1"/>
  <c r="B214" i="3"/>
  <c r="E25" i="42"/>
  <c r="E3" i="3"/>
  <c r="B30" i="3"/>
  <c r="K30" i="37" l="1"/>
  <c r="H35" i="42"/>
  <c r="L30" i="37"/>
  <c r="A2"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<sst xmlns="http://schemas.openxmlformats.org/spreadsheetml/2006/main" count="4802" uniqueCount="4322">
  <si>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Kod popunajvanja izvještaja bitno je da konačna datoteka ostane u izvornom formatu </t>
    </r>
    <r>
      <rPr>
        <b/>
        <sz val="8"/>
        <color indexed="12"/>
        <rFont val="Arial"/>
        <family val="2"/>
        <charset val="238"/>
      </rPr>
      <t>"*.xls", ne u ".xlsx" formatu</t>
    </r>
    <r>
      <rPr>
        <sz val="8"/>
        <rFont val="Arial"/>
        <family val="2"/>
        <charset val="238"/>
      </rPr>
      <t>. Ako kojim slučejem kod snimanja snimite datoteku u noviji format, prije konačne predaje u poslovnicu Fine ili putem OSPD sustava, odaberite "Save As / Spremi kao" opciju te odaberite Radnja knjiga Excel-a 97-2003 (x.xls).</t>
    </r>
  </si>
  <si>
    <r>
      <t xml:space="preserve">Predaja </t>
    </r>
    <r>
      <rPr>
        <sz val="8"/>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8"/>
        <color indexed="12"/>
        <rFont val="Arial"/>
        <family val="2"/>
        <charset val="238"/>
      </rPr>
      <t>https://ospd.fina.hr</t>
    </r>
    <r>
      <rPr>
        <sz val="8"/>
        <rFont val="Arial"/>
        <family val="2"/>
        <charset val="238"/>
      </rPr>
      <t xml:space="preserve"> gdje možete preuzeti i precizne upute o načinju dostave obrazaca</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</si>
  <si>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8"/>
        <rFont val="Arial"/>
        <family val="2"/>
        <charset val="238"/>
      </rPr>
      <t>.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</si>
  <si>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701</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</si>
  <si>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</si>
  <si>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</si>
  <si>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</si>
  <si>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</si>
  <si>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</si>
  <si>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</si>
  <si>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</si>
  <si>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</si>
  <si>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</si>
  <si>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</si>
  <si>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</si>
  <si>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</si>
  <si>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</si>
  <si>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</si>
  <si>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</si>
  <si>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</si>
  <si>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</si>
  <si>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</si>
  <si>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</si>
  <si>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</si>
  <si>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</si>
  <si>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</si>
  <si>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</si>
  <si>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</si>
  <si>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</si>
  <si>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</si>
  <si>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</si>
  <si>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</si>
  <si>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</si>
  <si>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</si>
  <si>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</si>
  <si>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</si>
  <si>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</si>
  <si>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</si>
  <si>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</si>
  <si>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</si>
  <si>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</si>
  <si>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</si>
  <si>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</si>
  <si>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</si>
  <si>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</si>
  <si>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</si>
  <si>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</si>
  <si>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</si>
  <si>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</si>
  <si>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</si>
  <si>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</si>
  <si>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</si>
  <si>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</si>
  <si>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</si>
  <si>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</si>
  <si>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</si>
  <si>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</si>
  <si>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</si>
  <si>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</si>
  <si>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</si>
  <si>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</si>
  <si>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</si>
  <si>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</si>
  <si>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</si>
  <si>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</si>
  <si>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</si>
  <si>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</si>
  <si>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</si>
  <si>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</si>
  <si>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</si>
  <si>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</si>
  <si>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</si>
  <si>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</si>
  <si>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</si>
  <si>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</si>
  <si>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</si>
  <si>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</si>
  <si>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</si>
  <si>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</si>
  <si>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</si>
  <si>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</si>
  <si>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</si>
  <si>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</si>
  <si>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</si>
  <si>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</si>
  <si>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</si>
  <si>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</si>
  <si>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</si>
  <si>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</si>
  <si>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</si>
  <si>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</si>
  <si>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</si>
  <si>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</si>
  <si>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</si>
  <si>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</si>
  <si>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</si>
  <si>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</si>
  <si>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</si>
  <si>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</si>
  <si>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</si>
  <si>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</si>
  <si>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</si>
  <si>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</si>
  <si>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</si>
  <si>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</si>
  <si>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</si>
  <si>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</si>
  <si>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</si>
  <si>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</si>
  <si>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</si>
  <si>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</si>
  <si>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</si>
  <si>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</si>
  <si>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</si>
  <si>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</si>
  <si>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</si>
  <si>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</si>
  <si>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</si>
  <si>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</si>
  <si>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</si>
  <si>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</si>
  <si>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</si>
  <si>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</si>
  <si>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</si>
  <si>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</si>
  <si>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</si>
  <si>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</si>
  <si>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</si>
  <si>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</si>
  <si>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</si>
  <si>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</si>
  <si>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</si>
  <si>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</si>
  <si>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</si>
  <si>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</si>
  <si>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</si>
  <si>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</si>
  <si>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</si>
  <si>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</si>
  <si>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</si>
  <si>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</si>
  <si>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</si>
  <si>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</si>
  <si>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</si>
  <si>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</si>
  <si>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</si>
  <si>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</si>
  <si>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</si>
  <si>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</si>
  <si>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</si>
  <si>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</si>
  <si>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</si>
  <si>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</si>
  <si>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</si>
  <si>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</si>
  <si>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</si>
  <si>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</si>
  <si>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</si>
  <si>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</si>
  <si>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</si>
  <si>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</si>
  <si>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</si>
  <si>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</si>
  <si>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Razina </t>
    </r>
    <r>
      <rPr>
        <b/>
        <sz val="10"/>
        <rFont val="Arial"/>
        <charset val="238"/>
      </rPr>
      <t>12 ne smije imati popunjene AOP oznake:</t>
    </r>
    <r>
      <rPr>
        <sz val="10"/>
        <rFont val="Arial"/>
        <charset val="238"/>
      </rPr>
      <t xml:space="preserve"> 420 do 422, 435 do 437, 441 do 442, 456 do 458, 461 do 464, 467, 481, 482, 511, 514, 520, 523 do 527, 540 do 542, 546, 547. Ako je na bilo kojoj od ovih AOP oznaka upisan iznos za razinu 12 obrazac je neispravan. </t>
    </r>
  </si>
  <si>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</si>
  <si>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</si>
  <si>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</si>
  <si>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</si>
  <si>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</si>
  <si>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</si>
  <si>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</si>
  <si>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</si>
  <si>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</si>
  <si>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</si>
  <si>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</si>
  <si>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</si>
  <si>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</si>
  <si>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</si>
  <si>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</si>
  <si>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</si>
  <si>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</si>
  <si>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</si>
  <si>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</si>
  <si>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</si>
  <si>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</si>
  <si>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</si>
  <si>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</si>
  <si>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</si>
  <si>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</si>
  <si>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</si>
  <si>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</si>
  <si>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</si>
  <si>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</si>
  <si>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</si>
  <si>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</si>
  <si>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</si>
  <si>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</si>
  <si>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</si>
  <si>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</si>
  <si>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</si>
  <si>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</si>
  <si>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</si>
  <si>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</si>
  <si>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</si>
  <si>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</si>
  <si>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</si>
  <si>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</si>
  <si>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</si>
  <si>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</si>
  <si>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</si>
  <si>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</si>
  <si>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</si>
  <si>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</si>
  <si>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</si>
  <si>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</si>
  <si>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</si>
  <si>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</si>
  <si>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</si>
  <si>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</si>
  <si>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</si>
  <si>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</si>
  <si>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</si>
  <si>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</si>
  <si>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</si>
  <si>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</si>
  <si>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</si>
  <si>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</si>
  <si>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</si>
  <si>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</si>
  <si>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</si>
  <si>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</si>
  <si>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</si>
  <si>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</si>
  <si>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</si>
  <si>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</si>
  <si>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</si>
  <si>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</si>
  <si>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</si>
  <si>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</si>
  <si>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</si>
  <si>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</si>
  <si>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</si>
  <si>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</si>
  <si>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</si>
  <si>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</si>
  <si>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</si>
  <si>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</si>
  <si>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</si>
  <si>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</si>
  <si>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</si>
  <si>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</si>
  <si>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</si>
  <si>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</si>
  <si>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</si>
  <si>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</si>
  <si>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</si>
  <si>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</si>
  <si>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</si>
  <si>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</si>
  <si>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</si>
  <si>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</si>
  <si>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</si>
  <si>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</si>
  <si>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</si>
  <si>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</si>
  <si>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</si>
  <si>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</si>
  <si>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</si>
  <si>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</si>
  <si>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</si>
  <si>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</si>
  <si>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</si>
  <si>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</si>
  <si>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</si>
  <si>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</si>
  <si>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</si>
  <si>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</si>
  <si>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</si>
  <si>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</si>
  <si>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</si>
  <si>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</si>
  <si>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</si>
  <si>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</si>
  <si>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</si>
  <si>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</si>
  <si>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</si>
  <si>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</si>
  <si>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</si>
  <si>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</si>
  <si>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</si>
  <si>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</si>
  <si>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</si>
  <si>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</si>
  <si>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</si>
  <si>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</si>
  <si>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</si>
  <si>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</si>
  <si>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</si>
  <si>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</si>
  <si>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</si>
  <si>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</si>
  <si>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</si>
  <si>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</si>
  <si>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</si>
  <si>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</si>
  <si>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</si>
  <si>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</si>
  <si>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</si>
  <si>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</si>
  <si>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</si>
  <si>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</si>
  <si>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</si>
  <si>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</si>
  <si>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</si>
  <si>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</si>
  <si>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</si>
  <si>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</si>
  <si>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</si>
  <si>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</si>
  <si>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</si>
  <si>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</si>
  <si>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</si>
  <si>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</si>
  <si>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</si>
  <si>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</si>
  <si>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</si>
  <si>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</si>
  <si>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</si>
  <si>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</si>
  <si>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</si>
  <si>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</si>
  <si>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</si>
  <si>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</si>
  <si>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</si>
  <si>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</si>
  <si>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</si>
  <si>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</si>
  <si>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</si>
  <si>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</si>
  <si>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</si>
  <si>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</si>
  <si>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</si>
  <si>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</si>
  <si>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</si>
  <si>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</si>
  <si>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</si>
  <si>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</si>
  <si>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</si>
  <si>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</si>
  <si>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</si>
  <si>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</si>
  <si>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</si>
  <si>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</si>
  <si>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</si>
  <si>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</si>
  <si>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</si>
  <si>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</si>
  <si>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</si>
  <si>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</si>
  <si>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</si>
  <si>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</si>
  <si>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</si>
  <si>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</si>
  <si>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</si>
  <si>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</si>
  <si>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</si>
  <si>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</si>
  <si>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</si>
  <si>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</si>
  <si>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</si>
  <si>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</si>
  <si>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</si>
  <si>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</si>
  <si>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</si>
  <si>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</si>
  <si>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</si>
  <si>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</si>
  <si>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</si>
  <si>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</si>
  <si>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</si>
  <si>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</si>
  <si>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</si>
  <si>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</si>
  <si>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</si>
  <si>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</si>
  <si>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</si>
  <si>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</si>
  <si>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</si>
  <si>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</si>
  <si>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</si>
  <si>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</si>
  <si>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</si>
  <si>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</si>
  <si>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</si>
  <si>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</si>
  <si>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</si>
  <si>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</si>
  <si>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</si>
  <si>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</si>
  <si>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</si>
  <si>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</si>
  <si>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</si>
  <si>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</si>
  <si>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</si>
  <si>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</si>
  <si>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</si>
  <si>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</si>
  <si>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</si>
  <si>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</si>
  <si>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</si>
  <si>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</si>
  <si>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</si>
  <si>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</si>
  <si>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</si>
  <si>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</si>
  <si>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</si>
  <si>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</si>
  <si>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</si>
  <si>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</si>
  <si>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</si>
  <si>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</si>
  <si>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</si>
  <si>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</si>
  <si>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</si>
  <si>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</si>
  <si>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</si>
  <si>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</si>
  <si>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</si>
  <si>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</si>
  <si>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</si>
  <si>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</si>
  <si>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</si>
  <si>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</si>
  <si>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</si>
  <si>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</si>
  <si>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</si>
  <si>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</si>
  <si>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</si>
  <si>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</si>
  <si>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</si>
  <si>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</si>
  <si>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</si>
  <si>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</si>
  <si>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</si>
  <si>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</si>
  <si>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</si>
  <si>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</si>
  <si>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</si>
  <si>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</si>
  <si>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</si>
  <si>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</si>
  <si>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</si>
  <si>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</si>
  <si>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</si>
  <si>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</si>
  <si>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</si>
  <si>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r>
      <t>Potvrda o primitku</t>
    </r>
    <r>
      <rPr>
        <sz val="9"/>
        <color indexed="18"/>
        <rFont val="Arial"/>
        <family val="2"/>
        <charset val="238"/>
      </rPr>
      <t xml:space="preserve"> se izdaje samo </t>
    </r>
    <r>
      <rPr>
        <b/>
        <sz val="9"/>
        <color indexed="18"/>
        <rFont val="Arial"/>
        <family val="2"/>
        <charset val="238"/>
      </rPr>
      <t>za potpun i ispravan izvještaj</t>
    </r>
    <r>
      <rPr>
        <sz val="9"/>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9"/>
        <color indexed="18"/>
        <rFont val="Arial"/>
        <family val="2"/>
        <charset val="238"/>
      </rPr>
      <t>proracuni@fina.hr</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</si>
  <si>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</si>
  <si>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</si>
  <si>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</si>
  <si>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</si>
  <si>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</si>
  <si>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</si>
  <si>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</si>
  <si>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</si>
  <si>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</si>
  <si>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</si>
  <si>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</si>
  <si>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</si>
  <si>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</si>
  <si>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</si>
  <si>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</si>
  <si>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</si>
  <si>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</si>
  <si>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</si>
  <si>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</si>
  <si>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</si>
  <si>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</si>
  <si>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</si>
  <si>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</si>
  <si>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</si>
  <si>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</si>
  <si>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</si>
  <si>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</si>
  <si>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</si>
  <si>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</si>
  <si>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</si>
  <si>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</si>
  <si>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</si>
  <si>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</si>
  <si>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</si>
  <si>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</si>
  <si>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</si>
  <si>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</si>
  <si>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</si>
  <si>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</si>
  <si>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</si>
  <si>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</si>
  <si>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</si>
  <si>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</si>
  <si>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</si>
  <si>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</si>
  <si>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</si>
  <si>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</si>
  <si>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</si>
  <si>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</si>
  <si>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</si>
  <si>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</si>
  <si>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</si>
  <si>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</si>
  <si>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</si>
  <si>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</si>
  <si>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</si>
  <si>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</si>
  <si>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</si>
  <si>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</si>
  <si>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</si>
  <si>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</si>
  <si>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</si>
  <si>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</si>
  <si>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</si>
  <si>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</si>
  <si>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</si>
  <si>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</si>
  <si>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</si>
  <si>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</si>
  <si>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</si>
  <si>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</si>
  <si>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</si>
  <si>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</si>
  <si>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</si>
  <si>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</si>
  <si>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</si>
  <si>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</si>
  <si>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</si>
  <si>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</si>
  <si>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</si>
  <si>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</si>
  <si>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</si>
  <si>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</si>
  <si>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</si>
  <si>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</si>
  <si>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</si>
  <si>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</si>
  <si>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</si>
  <si>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</si>
  <si>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</si>
  <si>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</si>
  <si>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</si>
  <si>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</si>
  <si>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</si>
  <si>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</si>
  <si>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</si>
  <si>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</si>
  <si>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</si>
  <si>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</si>
  <si>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</si>
  <si>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</si>
  <si>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</si>
  <si>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</si>
  <si>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</si>
  <si>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</si>
  <si>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</si>
  <si>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</si>
  <si>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</si>
  <si>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</si>
  <si>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</si>
  <si>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</si>
  <si>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</si>
  <si>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</si>
  <si>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</si>
  <si>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</si>
  <si>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</si>
  <si>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</si>
  <si>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</si>
  <si>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</si>
  <si>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</si>
  <si>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</si>
  <si>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</si>
  <si>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</si>
  <si>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</si>
  <si>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</si>
  <si>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</si>
  <si>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</si>
  <si>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</si>
  <si>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</si>
  <si>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</si>
  <si>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</si>
  <si>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</si>
  <si>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</si>
  <si>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</si>
  <si>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</si>
  <si>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</si>
  <si>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</si>
  <si>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</si>
  <si>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</si>
  <si>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</si>
  <si>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</si>
  <si>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</si>
  <si>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</si>
  <si>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</si>
  <si>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</si>
  <si>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</si>
  <si>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</si>
  <si>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</si>
  <si>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</si>
  <si>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</si>
  <si>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</si>
  <si>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</si>
  <si>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</si>
  <si>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</si>
  <si>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</si>
  <si>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</si>
  <si>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</si>
  <si>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</si>
  <si>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</si>
  <si>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</si>
  <si>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</si>
  <si>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</si>
  <si>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</si>
  <si>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</si>
  <si>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</si>
  <si>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</si>
  <si>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</si>
  <si>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</si>
  <si>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</si>
  <si>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</si>
  <si>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</si>
  <si>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</si>
  <si>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</si>
  <si>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</si>
  <si>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</si>
  <si>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</si>
  <si>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</si>
  <si>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</si>
  <si>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</si>
  <si>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</si>
  <si>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</si>
  <si>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</si>
  <si>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</si>
  <si>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</si>
  <si>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</si>
  <si>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</si>
  <si>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</si>
  <si>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</si>
  <si>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</si>
  <si>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</si>
  <si>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</si>
  <si>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</si>
  <si>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</si>
  <si>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</si>
  <si>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</si>
  <si>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</si>
  <si>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</si>
  <si>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</si>
  <si>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</si>
  <si>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</si>
  <si>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</si>
  <si>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</si>
  <si>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</si>
  <si>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</si>
  <si>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</si>
  <si>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</si>
  <si>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</si>
  <si>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</si>
  <si>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</si>
  <si>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</si>
  <si>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</si>
  <si>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</si>
  <si>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</si>
  <si>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</si>
  <si>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</si>
  <si>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</si>
  <si>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</si>
  <si>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</si>
  <si>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</si>
  <si>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</si>
  <si>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</si>
  <si>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</si>
  <si>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</si>
  <si>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</si>
  <si>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</si>
  <si>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</si>
  <si>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</si>
  <si>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</si>
  <si>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</si>
  <si>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</si>
  <si>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</si>
  <si>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</si>
  <si>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</si>
  <si>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</si>
  <si>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</si>
  <si>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</si>
  <si>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</si>
  <si>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</si>
  <si>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</si>
  <si>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</si>
  <si>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</si>
  <si>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</si>
  <si>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</si>
  <si>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</si>
  <si>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</si>
  <si>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</si>
  <si>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</si>
  <si>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</si>
  <si>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</si>
  <si>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</si>
  <si>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</si>
  <si>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</si>
  <si>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</si>
  <si>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</si>
  <si>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</si>
  <si>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</si>
  <si>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</si>
  <si>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</si>
  <si>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</si>
  <si>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</si>
  <si>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</si>
  <si>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</si>
  <si>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</si>
  <si>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</si>
  <si>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</si>
  <si>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</si>
  <si>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</si>
  <si>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</si>
  <si>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</si>
  <si>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</si>
  <si>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</si>
  <si>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</si>
  <si>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</si>
  <si>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</si>
  <si>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</si>
  <si>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</si>
  <si>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</si>
  <si>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</si>
  <si>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</si>
  <si>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</si>
  <si>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</si>
  <si>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</si>
  <si>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</si>
  <si>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</si>
  <si>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</si>
  <si>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</si>
  <si>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</si>
  <si>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</si>
  <si>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</si>
  <si>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</si>
  <si>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</si>
  <si>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</si>
  <si>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</si>
  <si>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</si>
  <si>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</si>
  <si>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</si>
  <si>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</si>
  <si>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</si>
  <si>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</si>
  <si>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</si>
  <si>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</si>
  <si>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</si>
  <si>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</si>
  <si>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</si>
  <si>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</si>
  <si>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</si>
  <si>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</si>
  <si>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</si>
  <si>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</si>
  <si>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</si>
  <si>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</si>
  <si>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</si>
  <si>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</si>
  <si>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</si>
  <si>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</si>
  <si>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</si>
  <si>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</si>
  <si>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</si>
  <si>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</si>
  <si>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</si>
  <si>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</si>
  <si>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</si>
  <si>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</si>
  <si>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</si>
  <si>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</si>
  <si>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</si>
  <si>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</si>
  <si>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</si>
  <si>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</si>
  <si>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</si>
  <si>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</si>
  <si>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</si>
  <si>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</si>
  <si>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</si>
  <si>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</si>
  <si>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</si>
  <si>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</si>
  <si>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</si>
  <si>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</si>
  <si>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</si>
  <si>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</si>
  <si>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</si>
  <si>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</si>
  <si>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</si>
  <si>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</si>
  <si>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</si>
  <si>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</si>
  <si>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</si>
  <si>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</si>
  <si>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</si>
  <si>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</si>
  <si>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</si>
  <si>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</si>
  <si>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</si>
  <si>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</si>
  <si>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</si>
  <si>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</si>
  <si>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</si>
  <si>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</si>
  <si>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</si>
  <si>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</si>
  <si>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</si>
  <si>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</si>
  <si>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</si>
  <si>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</si>
  <si>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</si>
  <si>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</si>
  <si>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</si>
  <si>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</si>
  <si>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</si>
  <si>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</si>
  <si>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</si>
  <si>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</si>
  <si>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</si>
  <si>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</si>
  <si>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</si>
  <si>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</si>
  <si>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</si>
  <si>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</si>
  <si>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</si>
  <si>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</si>
  <si>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</si>
  <si>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</si>
  <si>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</si>
  <si>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</si>
  <si>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</si>
  <si>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</si>
  <si>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</si>
  <si>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</si>
  <si>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</si>
  <si>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</si>
  <si>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</si>
  <si>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</si>
  <si>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</si>
  <si>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</si>
  <si>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</si>
  <si>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</si>
  <si>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</si>
  <si>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</si>
  <si>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</si>
  <si>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</si>
  <si>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</si>
  <si>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</si>
  <si>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</si>
  <si>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</si>
  <si>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</si>
  <si>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</si>
  <si>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</si>
  <si>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</si>
  <si>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</si>
  <si>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</si>
  <si>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</si>
  <si>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</si>
  <si>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</si>
  <si>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</si>
  <si>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</si>
  <si>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</si>
  <si>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</si>
  <si>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</si>
  <si>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</si>
  <si>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</si>
  <si>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</si>
  <si>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</si>
  <si>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</si>
  <si>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</si>
  <si>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</si>
  <si>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</si>
  <si>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</si>
  <si>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</si>
  <si>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</si>
  <si>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</si>
  <si>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</si>
  <si>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</si>
  <si>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</si>
  <si>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</si>
  <si>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</si>
  <si>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</si>
  <si>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</si>
  <si>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</si>
  <si>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</si>
  <si>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</si>
  <si>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</si>
  <si>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</si>
  <si>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</si>
  <si>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</si>
  <si>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</si>
  <si>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</si>
  <si>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</si>
  <si>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</si>
  <si>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</si>
  <si>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</si>
  <si>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</si>
  <si>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</si>
  <si>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</si>
  <si>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</si>
  <si>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</si>
  <si>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</si>
  <si>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</si>
  <si>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</si>
  <si>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</si>
  <si>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</si>
  <si>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</si>
  <si>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</si>
  <si>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</si>
  <si>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</si>
  <si>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</si>
  <si>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</si>
  <si>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</si>
  <si>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</si>
  <si>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</si>
  <si>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</si>
  <si>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</si>
  <si>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</si>
  <si>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</si>
  <si>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</si>
  <si>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</si>
  <si>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</si>
  <si>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</si>
  <si>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</si>
  <si>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</si>
  <si>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</si>
  <si>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</si>
  <si>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</si>
  <si>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</si>
  <si>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</si>
  <si>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</si>
  <si>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</si>
  <si>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</si>
  <si>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</si>
  <si>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</si>
  <si>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</si>
  <si>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</si>
  <si>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</si>
  <si>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</si>
  <si>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</si>
  <si>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</si>
  <si>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</si>
  <si>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</si>
  <si>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</si>
  <si>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</si>
  <si>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</si>
  <si>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</si>
  <si>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</si>
  <si>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</si>
  <si>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</si>
  <si>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</si>
  <si>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</si>
  <si>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</si>
  <si>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</si>
  <si>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</si>
  <si>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</si>
  <si>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</si>
  <si>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</si>
  <si>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</si>
  <si>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</si>
  <si>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</si>
  <si>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</si>
  <si>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</si>
  <si>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</si>
  <si>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</si>
  <si>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</si>
  <si>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</si>
  <si>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</si>
  <si>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</si>
  <si>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</si>
  <si>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</si>
  <si>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</si>
  <si>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</si>
  <si>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</si>
  <si>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</si>
  <si>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</si>
  <si>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</si>
  <si>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</si>
  <si>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</si>
  <si>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</si>
  <si>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</si>
  <si>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</si>
  <si>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</si>
  <si>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</si>
  <si>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</si>
  <si>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</si>
  <si>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</si>
  <si>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</si>
  <si>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</si>
  <si>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</si>
  <si>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</si>
  <si>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</si>
  <si>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</si>
  <si>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</si>
  <si>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</si>
  <si>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</si>
  <si>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</si>
  <si>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</si>
  <si>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</si>
  <si>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</si>
  <si>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</si>
  <si>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</si>
  <si>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</si>
  <si>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</si>
  <si>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</si>
  <si>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</si>
  <si>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</si>
  <si>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</si>
  <si>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</si>
  <si>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</si>
  <si>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</si>
  <si>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</si>
  <si>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</si>
  <si>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</si>
  <si>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</si>
  <si>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</si>
  <si>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</si>
  <si>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</si>
  <si>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</si>
  <si>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</si>
  <si>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</si>
  <si>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</si>
  <si>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</si>
  <si>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</si>
  <si>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</si>
  <si>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</si>
  <si>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</si>
  <si>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</si>
  <si>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</si>
  <si>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</si>
  <si>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</si>
  <si>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</si>
  <si>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</si>
  <si>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</si>
  <si>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</si>
  <si>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</si>
  <si>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</si>
  <si>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</si>
  <si>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</si>
  <si>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</si>
  <si>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</si>
  <si>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</si>
  <si>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</si>
  <si>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Povrat kapitalnih pomoći danih trgovačkim društvima i obrtnicima po protestiranim jamstvima</t>
  </si>
  <si>
    <t>93</t>
  </si>
  <si>
    <t>Obračunati rashodi poslovanja</t>
  </si>
  <si>
    <t xml:space="preserve">Obračunati prihodi poslovanja - nenaplaćeni </t>
  </si>
  <si>
    <t>Kapitalne pomoći (AOP 275 do 279)</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</si>
  <si>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</si>
  <si>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</si>
  <si>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</si>
  <si>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</si>
  <si>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</si>
  <si>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</si>
  <si>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</si>
  <si>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</si>
  <si>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</si>
  <si>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</si>
  <si>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</si>
  <si>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</si>
  <si>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</si>
  <si>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</si>
  <si>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</si>
  <si>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</si>
  <si>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</si>
  <si>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</si>
  <si>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</si>
  <si>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</si>
  <si>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</si>
  <si>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</si>
  <si>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</si>
  <si>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</si>
  <si>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</si>
  <si>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</si>
  <si>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</si>
  <si>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</si>
  <si>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</si>
  <si>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</si>
  <si>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</si>
  <si>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</si>
  <si>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</si>
  <si>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</si>
  <si>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</si>
  <si>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</si>
  <si>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</si>
  <si>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</si>
  <si>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</si>
  <si>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</si>
  <si>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</si>
  <si>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</si>
  <si>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</si>
  <si>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</si>
  <si>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</si>
  <si>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</si>
  <si>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</si>
  <si>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</si>
  <si>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</si>
  <si>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</si>
  <si>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</si>
  <si>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</si>
  <si>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</si>
  <si>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</si>
  <si>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</si>
  <si>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</si>
  <si>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</si>
  <si>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</si>
  <si>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</si>
  <si>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</si>
  <si>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</si>
  <si>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</si>
  <si>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</si>
  <si>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</si>
  <si>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</si>
  <si>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</si>
  <si>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</si>
  <si>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</si>
  <si>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</si>
  <si>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</si>
  <si>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</si>
  <si>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</si>
  <si>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</si>
  <si>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</si>
  <si>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</si>
  <si>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</si>
  <si>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</si>
  <si>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</si>
  <si>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</si>
  <si>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</si>
  <si>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</si>
  <si>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</si>
  <si>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</si>
  <si>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</si>
  <si>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</si>
  <si>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</si>
  <si>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</si>
  <si>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</si>
  <si>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</si>
  <si>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</si>
  <si>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</si>
  <si>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</si>
  <si>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</si>
  <si>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</si>
  <si>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</si>
  <si>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</si>
  <si>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</si>
  <si>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</si>
  <si>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</si>
  <si>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</si>
  <si>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</si>
  <si>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</si>
  <si>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</si>
  <si>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</si>
  <si>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</si>
  <si>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</si>
  <si>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</si>
  <si>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</si>
  <si>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</si>
  <si>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</si>
  <si>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</si>
  <si>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</si>
  <si>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</si>
  <si>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</si>
  <si>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</si>
  <si>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</si>
  <si>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</si>
  <si>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</si>
  <si>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</si>
  <si>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</si>
  <si>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</si>
  <si>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</si>
  <si>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</si>
  <si>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</si>
  <si>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</si>
  <si>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</si>
  <si>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</si>
  <si>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</si>
  <si>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</si>
  <si>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</si>
  <si>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</si>
  <si>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</si>
  <si>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</si>
  <si>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</si>
  <si>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</si>
  <si>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</si>
  <si>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</si>
  <si>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</si>
  <si>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</si>
  <si>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</si>
  <si>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</si>
  <si>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</si>
  <si>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</si>
  <si>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</si>
  <si>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</si>
  <si>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</si>
  <si>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</si>
  <si>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</si>
  <si>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</si>
  <si>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</si>
  <si>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</si>
  <si>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</si>
  <si>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</si>
  <si>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</si>
  <si>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</si>
  <si>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</si>
  <si>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</si>
  <si>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</si>
  <si>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</si>
  <si>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</si>
  <si>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</si>
  <si>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</si>
  <si>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</si>
  <si>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</si>
  <si>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</si>
  <si>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</si>
  <si>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</si>
  <si>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</si>
  <si>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</si>
  <si>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</si>
  <si>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</si>
  <si>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</si>
  <si>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</si>
  <si>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</si>
  <si>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</si>
  <si>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</si>
  <si>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</si>
  <si>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</si>
  <si>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</si>
  <si>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</si>
  <si>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</si>
  <si>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</si>
  <si>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</si>
  <si>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</si>
  <si>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</si>
  <si>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</si>
  <si>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</si>
  <si>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</si>
  <si>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</si>
  <si>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</si>
  <si>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</si>
  <si>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</si>
  <si>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</si>
  <si>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</si>
  <si>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</si>
  <si>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</si>
  <si>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</si>
  <si>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</si>
  <si>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</si>
  <si>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</si>
  <si>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</si>
  <si>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</si>
  <si>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</si>
  <si>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</si>
  <si>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</si>
  <si>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</si>
  <si>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</si>
  <si>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</si>
  <si>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</si>
  <si>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</si>
  <si>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</si>
  <si>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</si>
  <si>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</si>
  <si>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</si>
  <si>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</si>
  <si>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</si>
  <si>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</si>
  <si>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</si>
  <si>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</si>
  <si>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</si>
  <si>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</si>
  <si>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</si>
  <si>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</si>
  <si>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</si>
  <si>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</si>
  <si>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</si>
  <si>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</si>
  <si>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</si>
  <si>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</si>
  <si>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</si>
  <si>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</si>
  <si>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</si>
  <si>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</si>
  <si>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</si>
  <si>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</si>
  <si>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</si>
  <si>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</si>
  <si>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</si>
  <si>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</si>
  <si>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</si>
  <si>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</si>
  <si>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</si>
  <si>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</si>
  <si>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</si>
  <si>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</si>
  <si>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</si>
  <si>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</si>
  <si>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</si>
  <si>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</si>
  <si>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</si>
  <si>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</si>
  <si>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</si>
  <si>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</si>
  <si>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</si>
  <si>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</si>
  <si>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</si>
  <si>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</si>
  <si>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</si>
  <si>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</si>
  <si>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</si>
  <si>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</si>
  <si>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</si>
  <si>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</si>
  <si>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</si>
  <si>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</si>
  <si>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</si>
  <si>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</si>
  <si>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</si>
  <si>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</si>
  <si>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</si>
  <si>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</si>
  <si>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</si>
  <si>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</si>
  <si>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</si>
  <si>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</si>
  <si>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</si>
  <si>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</si>
  <si>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</si>
  <si>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</si>
  <si>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</si>
  <si>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</si>
  <si>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</si>
  <si>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</si>
  <si>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</si>
  <si>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</si>
  <si>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</si>
  <si>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</si>
  <si>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</si>
  <si>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</si>
  <si>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</si>
  <si>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</si>
  <si>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</si>
  <si>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</si>
  <si>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</si>
  <si>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</si>
  <si>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</si>
  <si>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</si>
  <si>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</si>
  <si>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</si>
  <si>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</si>
  <si>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</si>
  <si>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</si>
  <si>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</si>
  <si>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</si>
  <si>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</si>
  <si>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</si>
  <si>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</si>
  <si>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</si>
  <si>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</si>
  <si>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</si>
  <si>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</si>
  <si>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</si>
  <si>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</si>
  <si>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</si>
  <si>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</si>
  <si>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</si>
  <si>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</si>
  <si>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</si>
  <si>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</si>
  <si>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</si>
  <si>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</si>
  <si>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</si>
  <si>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</si>
  <si>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</si>
  <si>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</si>
  <si>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</si>
  <si>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</si>
  <si>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</si>
  <si>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</si>
  <si>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</si>
  <si>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</si>
  <si>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</si>
  <si>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</si>
  <si>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</si>
  <si>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</si>
  <si>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</si>
  <si>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</si>
  <si>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</si>
  <si>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</si>
  <si>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</si>
  <si>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</si>
  <si>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</si>
  <si>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</si>
  <si>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</si>
  <si>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</si>
  <si>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</si>
  <si>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</si>
  <si>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</si>
  <si>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</si>
  <si>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</si>
  <si>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</si>
  <si>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</si>
  <si>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</si>
  <si>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</si>
  <si>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</si>
  <si>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</si>
  <si>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</si>
  <si>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</si>
  <si>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</si>
  <si>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</si>
  <si>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</si>
  <si>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</si>
  <si>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</si>
  <si>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</si>
  <si>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</si>
  <si>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</si>
  <si>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</si>
  <si>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</si>
  <si>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</si>
  <si>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</si>
  <si>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</si>
  <si>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</si>
  <si>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</si>
  <si>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</si>
  <si>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</si>
  <si>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</si>
  <si>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</si>
  <si>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</si>
  <si>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</si>
  <si>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</si>
  <si>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</si>
  <si>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</si>
  <si>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</si>
  <si>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</si>
  <si>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</si>
  <si>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</si>
  <si>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</si>
  <si>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</si>
  <si>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</si>
  <si>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</si>
  <si>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</si>
  <si>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</si>
  <si>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</si>
  <si>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</si>
  <si>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</si>
  <si>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</si>
  <si>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</si>
  <si>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</si>
  <si>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</si>
  <si>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</si>
  <si>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</si>
  <si>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</si>
  <si>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</si>
  <si>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</si>
  <si>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</si>
  <si>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</si>
  <si>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</si>
  <si>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</si>
  <si>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</si>
  <si>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</si>
  <si>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</si>
  <si>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</si>
  <si>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</si>
  <si>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</si>
  <si>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</si>
  <si>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</si>
  <si>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</si>
  <si>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</si>
  <si>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</si>
  <si>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</si>
  <si>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</si>
  <si>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</si>
  <si>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</si>
  <si>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</si>
  <si>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</si>
  <si>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</si>
  <si>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</si>
  <si>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</si>
  <si>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</si>
  <si>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</si>
  <si>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</si>
  <si>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</si>
  <si>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</si>
  <si>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</si>
  <si>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</si>
  <si>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</si>
  <si>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</si>
  <si>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</si>
  <si>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</si>
  <si>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</si>
  <si>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</si>
  <si>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</si>
  <si>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</si>
  <si>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</si>
  <si>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</si>
  <si>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</si>
  <si>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</si>
  <si>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</si>
  <si>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</si>
  <si>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</si>
  <si>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</si>
  <si>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</si>
  <si>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</si>
  <si>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</si>
  <si>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</si>
  <si>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</si>
  <si>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</si>
  <si>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</si>
  <si>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</si>
  <si>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</si>
  <si>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</si>
  <si>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</si>
  <si>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</si>
  <si>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</si>
  <si>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</si>
  <si>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</si>
  <si>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</si>
  <si>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</si>
  <si>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</si>
  <si>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</si>
  <si>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</si>
  <si>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</si>
  <si>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</si>
  <si>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</si>
  <si>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</si>
  <si>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</si>
  <si>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</si>
  <si>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</si>
  <si>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</si>
  <si>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</si>
  <si>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</si>
  <si>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</si>
  <si>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</si>
  <si>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</si>
  <si>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</si>
  <si>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</si>
  <si>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</si>
  <si>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</si>
  <si>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</si>
  <si>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</si>
  <si>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</si>
  <si>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</si>
  <si>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</si>
  <si>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</si>
  <si>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</si>
  <si>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</si>
  <si>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</si>
  <si>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</si>
  <si>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</si>
  <si>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</si>
  <si>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</si>
  <si>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</si>
  <si>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</si>
  <si>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</si>
  <si>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</si>
  <si>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</si>
  <si>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</si>
  <si>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</si>
  <si>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</si>
  <si>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</si>
  <si>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</si>
  <si>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</si>
  <si>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</si>
  <si>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</si>
  <si>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</si>
  <si>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</si>
  <si>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</si>
  <si>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</si>
  <si>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</si>
  <si>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</si>
  <si>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</si>
  <si>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</si>
  <si>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</si>
  <si>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</si>
  <si>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</si>
  <si>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</si>
  <si>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</si>
  <si>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</si>
  <si>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</si>
  <si>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</si>
  <si>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</si>
  <si>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</si>
  <si>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</si>
  <si>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</si>
  <si>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</si>
  <si>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</si>
  <si>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</si>
  <si>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</si>
  <si>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</si>
  <si>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</si>
  <si>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</si>
  <si>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</si>
  <si>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</si>
  <si>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</si>
  <si>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</si>
  <si>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</si>
  <si>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</si>
  <si>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</si>
  <si>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</si>
  <si>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</si>
  <si>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</si>
  <si>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</si>
  <si>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</si>
  <si>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</si>
  <si>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</si>
  <si>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</si>
  <si>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</si>
  <si>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</si>
  <si>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</si>
  <si>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</si>
  <si>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</si>
  <si>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</si>
  <si>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</si>
  <si>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</si>
  <si>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</si>
  <si>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</si>
  <si>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</si>
  <si>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</si>
  <si>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</si>
  <si>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</si>
  <si>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</si>
  <si>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</si>
  <si>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</si>
  <si>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</si>
  <si>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</si>
  <si>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</si>
  <si>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</si>
  <si>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</si>
  <si>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</si>
  <si>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</si>
  <si>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</si>
  <si>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</si>
  <si>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</si>
  <si>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</si>
  <si>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</si>
  <si>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</si>
  <si>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</si>
  <si>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</si>
  <si>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</si>
  <si>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</si>
  <si>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</si>
  <si>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</si>
  <si>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</si>
  <si>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</si>
  <si>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</si>
  <si>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</si>
  <si>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</si>
  <si>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</si>
  <si>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</si>
  <si>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</si>
  <si>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</si>
  <si>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</si>
  <si>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</si>
  <si>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</si>
  <si>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</si>
  <si>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</si>
  <si>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</si>
  <si>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</si>
  <si>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</si>
  <si>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</si>
  <si>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</si>
  <si>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</si>
  <si>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</si>
  <si>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</si>
  <si>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</si>
  <si>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</si>
  <si>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</si>
  <si>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</si>
  <si>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</si>
  <si>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</si>
  <si>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</si>
  <si>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</si>
  <si>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</si>
  <si>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</si>
  <si>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</si>
  <si>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</si>
  <si>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</si>
  <si>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</si>
  <si>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</si>
  <si>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</si>
  <si>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</si>
  <si>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</si>
  <si>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</si>
  <si>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</si>
  <si>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</si>
  <si>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</si>
  <si>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</si>
  <si>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</si>
  <si>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</si>
  <si>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</si>
  <si>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</si>
  <si>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</si>
  <si>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</si>
  <si>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</si>
  <si>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</si>
  <si>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</si>
  <si>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</si>
  <si>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</si>
  <si>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</si>
  <si>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</si>
  <si>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</si>
  <si>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</si>
  <si>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</si>
  <si>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</si>
  <si>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</si>
  <si>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</si>
  <si>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</si>
  <si>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</si>
  <si>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</si>
  <si>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</si>
  <si>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</si>
  <si>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</si>
  <si>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</si>
  <si>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</si>
  <si>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</si>
  <si>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</si>
  <si>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</si>
  <si>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</si>
  <si>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</si>
  <si>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</si>
  <si>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</si>
  <si>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</si>
  <si>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</si>
  <si>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</si>
  <si>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</si>
  <si>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</si>
  <si>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</si>
  <si>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</si>
  <si>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</si>
  <si>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</si>
  <si>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</si>
  <si>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</si>
  <si>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</si>
  <si>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</si>
  <si>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</si>
  <si>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</si>
  <si>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</si>
  <si>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</si>
  <si>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</si>
  <si>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</si>
  <si>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</si>
  <si>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</si>
  <si>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</si>
  <si>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</si>
  <si>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</si>
  <si>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</si>
  <si>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</si>
  <si>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</si>
  <si>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</si>
  <si>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</si>
  <si>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</si>
  <si>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</si>
  <si>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</si>
  <si>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</si>
  <si>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</si>
  <si>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</si>
  <si>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</si>
  <si>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</si>
  <si>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</si>
  <si>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</si>
  <si>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</si>
  <si>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</si>
  <si>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</si>
  <si>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</si>
  <si>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</si>
  <si>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</si>
  <si>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</si>
  <si>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</si>
  <si>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</si>
  <si>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</si>
  <si>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</si>
  <si>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</si>
  <si>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</si>
  <si>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</si>
  <si>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</si>
  <si>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</si>
  <si>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</si>
  <si>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</si>
  <si>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</si>
  <si>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</si>
  <si>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</si>
  <si>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</si>
  <si>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</si>
  <si>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</si>
  <si>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</si>
  <si>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</si>
  <si>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</si>
  <si>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</si>
  <si>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</si>
  <si>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</si>
  <si>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</si>
  <si>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</si>
  <si>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</si>
  <si>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</si>
  <si>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</si>
  <si>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</si>
  <si>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</si>
  <si>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</si>
  <si>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</si>
  <si>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</si>
  <si>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</si>
  <si>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</si>
  <si>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</si>
  <si>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</si>
  <si>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</si>
  <si>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</si>
  <si>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</si>
  <si>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</si>
  <si>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</si>
  <si>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</si>
  <si>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</si>
  <si>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</si>
  <si>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</si>
  <si>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</si>
  <si>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</si>
  <si>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</si>
  <si>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</si>
  <si>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</si>
  <si>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</si>
  <si>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</si>
  <si>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</si>
  <si>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</si>
  <si>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</si>
  <si>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</si>
  <si>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</si>
  <si>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</si>
  <si>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</si>
  <si>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</si>
  <si>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</si>
  <si>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</si>
  <si>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</si>
  <si>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</si>
  <si>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</si>
  <si>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</si>
  <si>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</si>
  <si>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</si>
  <si>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</si>
  <si>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</si>
  <si>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</si>
  <si>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</si>
  <si>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</si>
  <si>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</si>
  <si>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</si>
  <si>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</si>
  <si>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</si>
  <si>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</si>
  <si>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</si>
  <si>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</si>
  <si>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</si>
  <si>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</si>
  <si>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</si>
  <si>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</si>
  <si>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</si>
  <si>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</si>
  <si>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</si>
  <si>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</si>
  <si>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</si>
  <si>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</si>
  <si>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</si>
  <si>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</si>
  <si>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MJESEC</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</si>
  <si>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</si>
  <si>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</si>
  <si>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</si>
  <si>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</si>
  <si>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</si>
  <si>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</si>
  <si>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</si>
  <si>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</si>
  <si>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</si>
  <si>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</si>
  <si>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</si>
  <si>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</si>
  <si>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</si>
  <si>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</si>
  <si>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</si>
  <si>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</si>
  <si>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</si>
  <si>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</si>
  <si>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</si>
  <si>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</si>
  <si>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</si>
  <si>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</si>
  <si>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</si>
  <si>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</si>
  <si>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</si>
  <si>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</si>
  <si>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</si>
  <si>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</si>
  <si>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</si>
  <si>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</si>
  <si>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</si>
  <si>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</si>
  <si>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</si>
  <si>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</si>
  <si>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</si>
  <si>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</si>
  <si>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</si>
  <si>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</si>
  <si>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</si>
  <si>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</si>
  <si>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</si>
  <si>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</si>
  <si>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</si>
  <si>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</si>
  <si>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</si>
  <si>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</si>
  <si>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</si>
  <si>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</si>
  <si>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</si>
  <si>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</si>
  <si>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</si>
  <si>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</si>
  <si>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</si>
  <si>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</si>
  <si>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</si>
  <si>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</si>
  <si>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</si>
  <si>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</si>
  <si>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</si>
  <si>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</si>
  <si>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</si>
  <si>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</si>
  <si>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</si>
  <si>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</si>
  <si>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</si>
  <si>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</si>
  <si>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</si>
  <si>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</si>
  <si>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</si>
  <si>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</si>
  <si>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</si>
  <si>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</si>
  <si>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</si>
  <si>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</si>
  <si>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</si>
  <si>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</si>
  <si>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</si>
  <si>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</si>
  <si>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</si>
  <si>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</si>
  <si>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</si>
  <si>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</si>
  <si>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</si>
  <si>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</si>
  <si>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</si>
  <si>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</si>
  <si>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</si>
  <si>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</si>
  <si>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</si>
  <si>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</si>
  <si>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</si>
  <si>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</si>
  <si>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</si>
  <si>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</si>
  <si>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</si>
  <si>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</si>
  <si>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</si>
  <si>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</si>
  <si>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</si>
  <si>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</si>
  <si>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</si>
  <si>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</si>
  <si>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</si>
  <si>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</si>
  <si>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</si>
  <si>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</si>
  <si>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</si>
  <si>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</si>
  <si>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</si>
  <si>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</si>
  <si>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</si>
  <si>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</si>
  <si>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</si>
  <si>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</si>
  <si>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</si>
  <si>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</si>
  <si>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</si>
  <si>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</si>
  <si>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</si>
  <si>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</si>
  <si>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</si>
  <si>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</si>
  <si>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</si>
  <si>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</si>
  <si>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</si>
  <si>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</si>
  <si>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</si>
  <si>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</si>
  <si>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</si>
  <si>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</si>
  <si>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</si>
  <si>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</si>
  <si>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</si>
  <si>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</si>
  <si>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</si>
  <si>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</si>
  <si>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</si>
  <si>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</si>
  <si>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</si>
  <si>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</si>
  <si>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</si>
  <si>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</si>
  <si>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</si>
  <si>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</si>
  <si>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</si>
  <si>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</si>
  <si>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</si>
  <si>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</si>
  <si>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</si>
  <si>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</si>
  <si>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</si>
  <si>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</si>
  <si>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</si>
  <si>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</si>
  <si>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</si>
  <si>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</si>
  <si>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</si>
  <si>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</si>
  <si>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</si>
  <si>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</si>
  <si>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</si>
  <si>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</si>
  <si>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</si>
  <si>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</si>
  <si>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</si>
  <si>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</si>
  <si>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</si>
  <si>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</si>
  <si>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</si>
  <si>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</si>
  <si>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</si>
  <si>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</si>
  <si>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</si>
  <si>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</si>
  <si>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</si>
  <si>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</si>
  <si>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</si>
  <si>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</si>
  <si>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</si>
  <si>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</si>
  <si>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</si>
  <si>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</si>
  <si>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</si>
  <si>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</si>
  <si>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</si>
  <si>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</si>
  <si>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</si>
  <si>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</si>
  <si>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</si>
  <si>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</si>
  <si>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</si>
  <si>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</si>
  <si>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</si>
  <si>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</si>
  <si>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</si>
  <si>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</si>
  <si>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</si>
  <si>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</si>
  <si>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</si>
  <si>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</si>
  <si>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</si>
  <si>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</si>
  <si>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</si>
  <si>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</si>
  <si>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</si>
  <si>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</si>
  <si>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</si>
  <si>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</si>
  <si>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</si>
  <si>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</si>
  <si>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</si>
  <si>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</si>
  <si>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</si>
  <si>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</si>
  <si>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</si>
  <si>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</si>
  <si>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</si>
  <si>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</si>
  <si>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</si>
  <si>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</si>
  <si>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</si>
  <si>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</si>
  <si>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</si>
  <si>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</si>
  <si>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</si>
  <si>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</si>
  <si>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</si>
  <si>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</si>
  <si>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</si>
  <si>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</si>
  <si>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</si>
  <si>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</si>
  <si>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</si>
  <si>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</si>
  <si>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</si>
  <si>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</si>
  <si>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</si>
  <si>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</si>
  <si>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</si>
  <si>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</si>
  <si>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</si>
  <si>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</si>
  <si>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</si>
  <si>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</si>
  <si>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</si>
  <si>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</si>
  <si>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</si>
  <si>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</si>
  <si>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</si>
  <si>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</si>
  <si>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</si>
  <si>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</si>
  <si>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</si>
  <si>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</si>
  <si>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</si>
  <si>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</si>
  <si>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</si>
  <si>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</si>
  <si>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</si>
  <si>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</si>
  <si>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</si>
  <si>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</si>
  <si>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</si>
  <si>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</si>
  <si>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</si>
  <si>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</si>
  <si>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</si>
  <si>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</si>
  <si>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</si>
  <si>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</si>
  <si>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</si>
  <si>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</si>
  <si>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</si>
  <si>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</si>
  <si>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</si>
  <si>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</si>
  <si>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</si>
  <si>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</si>
  <si>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</si>
  <si>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</si>
  <si>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</si>
  <si>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</si>
  <si>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</si>
  <si>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</si>
  <si>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</si>
  <si>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</si>
  <si>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</si>
  <si>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</si>
  <si>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</si>
  <si>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</si>
  <si>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</si>
  <si>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</si>
  <si>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</si>
  <si>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</si>
  <si>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</si>
  <si>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</si>
  <si>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</si>
  <si>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</si>
  <si>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</si>
  <si>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</si>
  <si>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</si>
  <si>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</si>
  <si>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</si>
  <si>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</si>
  <si>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</si>
  <si>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</si>
  <si>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</si>
  <si>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</si>
  <si>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</si>
  <si>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</si>
  <si>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</si>
  <si>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</si>
  <si>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</si>
  <si>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</si>
  <si>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</si>
  <si>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</si>
  <si>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</si>
  <si>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</si>
  <si>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</si>
  <si>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</si>
  <si>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</si>
  <si>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</si>
  <si>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</si>
  <si>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</si>
  <si>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</si>
  <si>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</si>
  <si>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</si>
  <si>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</si>
  <si>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</si>
  <si>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</si>
  <si>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</si>
  <si>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</si>
  <si>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</si>
  <si>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</si>
  <si>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</si>
  <si>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</si>
  <si>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</si>
  <si>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</si>
  <si>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</si>
  <si>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</si>
  <si>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</si>
  <si>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</si>
  <si>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</si>
  <si>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</si>
  <si>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</si>
  <si>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</si>
  <si>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</si>
  <si>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</si>
  <si>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</si>
  <si>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</si>
  <si>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</si>
  <si>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</si>
  <si>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</si>
  <si>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</si>
  <si>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</si>
  <si>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</si>
  <si>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</si>
  <si>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</si>
  <si>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</si>
  <si>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</si>
  <si>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</si>
  <si>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</si>
  <si>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</si>
  <si>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</si>
  <si>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</si>
  <si>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</si>
  <si>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</si>
  <si>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</si>
  <si>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</si>
  <si>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</si>
  <si>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</si>
  <si>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</si>
  <si>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</si>
  <si>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</si>
  <si>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</si>
  <si>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</si>
  <si>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</si>
  <si>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</si>
  <si>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</si>
  <si>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</si>
  <si>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</si>
  <si>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</si>
  <si>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</si>
  <si>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</si>
  <si>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</si>
  <si>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</si>
  <si>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</si>
  <si>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</si>
  <si>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</si>
  <si>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</si>
  <si>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</si>
  <si>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</si>
  <si>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</si>
  <si>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</si>
  <si>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</si>
  <si>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</si>
  <si>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</si>
  <si>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</si>
  <si>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</si>
  <si>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</si>
  <si>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</si>
  <si>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</si>
  <si>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</si>
  <si>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</si>
  <si>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</si>
  <si>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</si>
  <si>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</si>
  <si>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</si>
  <si>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</si>
  <si>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</si>
  <si>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</si>
  <si>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</si>
  <si>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</si>
  <si>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</si>
  <si>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</si>
  <si>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</si>
  <si>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</si>
  <si>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</si>
  <si>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</si>
  <si>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</si>
  <si>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</si>
  <si>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</si>
  <si>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</si>
  <si>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</si>
  <si>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</si>
  <si>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</si>
  <si>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</si>
  <si>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</si>
  <si>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</si>
  <si>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</si>
  <si>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</si>
  <si>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</si>
  <si>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</si>
  <si>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</si>
  <si>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</si>
  <si>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</si>
  <si>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</si>
  <si>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</si>
  <si>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</si>
  <si>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</si>
  <si>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</si>
  <si>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</si>
  <si>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</si>
  <si>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</si>
  <si>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</si>
  <si>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</si>
  <si>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</si>
  <si>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</si>
  <si>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</si>
  <si>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</si>
  <si>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</si>
  <si>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</si>
  <si>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</si>
  <si>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</si>
  <si>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</si>
  <si>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</si>
  <si>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</si>
  <si>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</si>
  <si>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</si>
  <si>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</si>
  <si>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</si>
  <si>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</si>
  <si>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</si>
  <si>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</si>
  <si>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</si>
  <si>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</si>
  <si>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</si>
  <si>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</si>
  <si>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</si>
  <si>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</si>
  <si>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</si>
  <si>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</si>
  <si>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</si>
  <si>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</si>
  <si>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</si>
  <si>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</si>
  <si>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</si>
  <si>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</si>
  <si>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</si>
  <si>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</si>
  <si>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</si>
  <si>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</si>
  <si>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</si>
  <si>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</si>
  <si>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</si>
  <si>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</si>
  <si>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</si>
  <si>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</si>
  <si>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</si>
  <si>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</si>
  <si>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</si>
  <si>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</si>
  <si>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</si>
  <si>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</si>
  <si>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</si>
  <si>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</si>
  <si>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</si>
  <si>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</si>
  <si>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</si>
  <si>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</si>
  <si>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</si>
  <si>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</si>
  <si>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</si>
  <si>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</si>
  <si>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</si>
  <si>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</si>
  <si>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</si>
  <si>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</si>
  <si>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</si>
  <si>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</si>
  <si>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</si>
  <si>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</si>
  <si>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</si>
  <si>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</si>
  <si>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</si>
  <si>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</si>
  <si>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</si>
  <si>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</si>
  <si>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</si>
  <si>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</si>
  <si>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</si>
  <si>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</si>
  <si>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</si>
  <si>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</si>
  <si>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</si>
  <si>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</si>
  <si>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</si>
  <si>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</si>
  <si>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</si>
  <si>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</si>
  <si>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</si>
  <si>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</si>
  <si>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</si>
  <si>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</si>
  <si>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</si>
  <si>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</si>
  <si>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</si>
  <si>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</si>
  <si>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</si>
  <si>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</si>
  <si>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</si>
  <si>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</si>
  <si>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</si>
  <si>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</si>
  <si>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</si>
  <si>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</si>
  <si>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</si>
  <si>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</si>
  <si>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</si>
  <si>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</si>
  <si>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</si>
  <si>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</si>
  <si>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</si>
  <si>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</si>
  <si>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</si>
  <si>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</si>
  <si>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</si>
  <si>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</si>
  <si>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</si>
  <si>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</si>
  <si>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</si>
  <si>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</si>
  <si>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</si>
  <si>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</si>
  <si>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</si>
  <si>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</si>
  <si>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</si>
  <si>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</si>
  <si>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</si>
  <si>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</si>
  <si>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</si>
  <si>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</si>
  <si>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</si>
  <si>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</si>
  <si>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</si>
  <si>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</si>
  <si>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</si>
  <si>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</si>
  <si>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</si>
  <si>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</si>
  <si>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</si>
  <si>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</si>
  <si>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</si>
  <si>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</si>
  <si>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</si>
  <si>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</si>
  <si>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</si>
  <si>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</si>
  <si>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</si>
  <si>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</si>
  <si>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</si>
  <si>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</si>
  <si>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</si>
  <si>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</si>
  <si>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</si>
  <si>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</si>
  <si>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</si>
  <si>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</si>
  <si>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</si>
  <si>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</si>
  <si>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</si>
  <si>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</si>
  <si>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</si>
  <si>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</si>
  <si>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</si>
  <si>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</si>
  <si>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</si>
  <si>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</si>
  <si>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</si>
  <si>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</si>
  <si>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</si>
  <si>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</si>
  <si>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</si>
  <si>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</si>
  <si>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</si>
  <si>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</si>
  <si>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</si>
  <si>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</si>
  <si>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</si>
  <si>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</si>
  <si>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</si>
  <si>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</si>
  <si>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</si>
  <si>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</si>
  <si>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</si>
  <si>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</si>
  <si>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</si>
  <si>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</si>
  <si>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</si>
  <si>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</si>
  <si>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</si>
  <si>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</si>
  <si>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</si>
  <si>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</si>
  <si>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</si>
  <si>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</si>
  <si>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</si>
  <si>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</si>
  <si>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</si>
  <si>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</si>
  <si>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</si>
  <si>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</si>
  <si>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</si>
  <si>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</si>
  <si>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</si>
  <si>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</si>
  <si>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</si>
  <si>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</si>
  <si>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</si>
  <si>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</si>
  <si>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</si>
  <si>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</si>
  <si>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</si>
  <si>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</si>
  <si>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</si>
  <si>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</si>
  <si>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</si>
  <si>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</si>
  <si>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</si>
  <si>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</si>
  <si>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</si>
  <si>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</si>
  <si>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</si>
  <si>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</si>
  <si>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</si>
  <si>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</si>
  <si>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</si>
  <si>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</si>
  <si>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</si>
  <si>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</si>
  <si>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</si>
  <si>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</si>
  <si>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</si>
  <si>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</si>
  <si>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</si>
  <si>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</si>
  <si>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</si>
  <si>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</si>
  <si>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</si>
  <si>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</si>
  <si>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</si>
  <si>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</si>
  <si>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</si>
  <si>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</si>
  <si>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</si>
  <si>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</si>
  <si>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</si>
  <si>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</si>
  <si>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</si>
  <si>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</si>
  <si>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</si>
  <si>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</si>
  <si>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</si>
  <si>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</si>
  <si>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</si>
  <si>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</si>
  <si>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</si>
  <si>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</si>
  <si>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</si>
  <si>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</si>
  <si>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</si>
  <si>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</si>
  <si>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</si>
  <si>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</si>
  <si>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</si>
  <si>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</si>
  <si>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</si>
  <si>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</si>
  <si>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</si>
  <si>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</si>
  <si>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</si>
  <si>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</si>
  <si>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</si>
  <si>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</si>
  <si>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</si>
  <si>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</si>
  <si>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</si>
  <si>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</si>
  <si>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</si>
  <si>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</si>
  <si>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</si>
  <si>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</si>
  <si>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</si>
  <si>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</si>
  <si>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</si>
  <si>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</si>
  <si>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</si>
  <si>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</si>
  <si>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</si>
  <si>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</si>
  <si>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</si>
  <si>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</si>
  <si>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</si>
  <si>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</si>
  <si>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</si>
  <si>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</si>
  <si>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</si>
  <si>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</si>
  <si>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</si>
  <si>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</si>
  <si>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</si>
  <si>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</si>
  <si>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</si>
  <si>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</si>
  <si>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</si>
  <si>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</si>
  <si>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</si>
  <si>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</si>
  <si>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</si>
  <si>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</si>
  <si>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</si>
  <si>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</si>
  <si>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</si>
  <si>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</si>
  <si>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</si>
  <si>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</si>
  <si>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</si>
  <si>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</si>
  <si>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</si>
  <si>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</si>
  <si>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</si>
  <si>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</si>
  <si>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</si>
  <si>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</si>
  <si>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</si>
  <si>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</si>
  <si>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</si>
  <si>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</si>
  <si>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</si>
  <si>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</si>
  <si>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</si>
  <si>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</si>
  <si>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</si>
  <si>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</si>
  <si>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</si>
  <si>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</si>
  <si>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</si>
  <si>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</si>
  <si>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</si>
  <si>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</si>
  <si>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</si>
  <si>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</si>
  <si>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</si>
  <si>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</si>
  <si>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</si>
  <si>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</si>
  <si>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</si>
  <si>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</si>
  <si>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</si>
  <si>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</si>
  <si>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</si>
  <si>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</si>
  <si>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</si>
  <si>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</si>
  <si>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</si>
  <si>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</si>
  <si>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</si>
  <si>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</si>
  <si>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</si>
  <si>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</si>
  <si>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</si>
  <si>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</si>
  <si>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</si>
  <si>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</si>
  <si>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</si>
  <si>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</si>
  <si>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</si>
  <si>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</si>
  <si>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</si>
  <si>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</si>
  <si>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</si>
  <si>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</si>
  <si>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</si>
  <si>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</si>
  <si>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</si>
  <si>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</si>
  <si>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</si>
  <si>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</si>
  <si>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</si>
  <si>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</si>
  <si>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</si>
  <si>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</si>
  <si>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</si>
  <si>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</si>
  <si>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</si>
  <si>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</si>
  <si>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</si>
  <si>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</si>
  <si>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</si>
  <si>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</si>
  <si>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</si>
  <si>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</si>
  <si>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</si>
  <si>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</si>
  <si>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</si>
  <si>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</si>
  <si>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</si>
  <si>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</si>
  <si>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</si>
  <si>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</si>
  <si>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</si>
  <si>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</si>
  <si>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</si>
  <si>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</si>
  <si>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</si>
  <si>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</si>
  <si>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</si>
  <si>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</si>
  <si>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</si>
  <si>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</si>
  <si>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</si>
  <si>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</si>
  <si>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</si>
  <si>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</si>
  <si>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</si>
  <si>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</si>
  <si>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</si>
  <si>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</si>
  <si>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</si>
  <si>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</si>
  <si>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</si>
  <si>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</si>
  <si>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</si>
  <si>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</si>
  <si>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</si>
  <si>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</si>
  <si>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</si>
  <si>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</si>
  <si>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</si>
  <si>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</si>
  <si>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</si>
  <si>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</si>
  <si>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</si>
  <si>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</si>
  <si>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</si>
  <si>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</si>
  <si>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</si>
  <si>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</si>
  <si>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</si>
  <si>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</si>
  <si>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</si>
  <si>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</si>
  <si>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</si>
  <si>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</si>
  <si>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</si>
  <si>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</si>
  <si>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</si>
  <si>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</si>
  <si>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</si>
  <si>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</si>
  <si>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</si>
  <si>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</si>
  <si>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</si>
  <si>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</si>
  <si>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</si>
  <si>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</si>
  <si>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</si>
  <si>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</si>
  <si>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</si>
  <si>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</si>
  <si>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</si>
  <si>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</si>
  <si>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</si>
  <si>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</si>
  <si>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</si>
  <si>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</si>
  <si>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</si>
  <si>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</si>
  <si>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</si>
  <si>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</si>
  <si>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</si>
  <si>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</si>
  <si>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</si>
  <si>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</si>
  <si>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</si>
  <si>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</si>
  <si>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</si>
  <si>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</si>
  <si>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</si>
  <si>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</si>
  <si>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</si>
  <si>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</si>
  <si>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</si>
  <si>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</si>
  <si>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</si>
  <si>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</si>
  <si>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</si>
  <si>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</si>
  <si>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</si>
  <si>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</si>
  <si>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</si>
  <si>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</si>
  <si>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</si>
  <si>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</si>
  <si>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</si>
  <si>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</si>
  <si>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</si>
  <si>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</si>
  <si>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</si>
  <si>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</si>
  <si>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</si>
  <si>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</si>
  <si>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</si>
  <si>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</si>
  <si>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</si>
  <si>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</si>
  <si>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</si>
  <si>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</si>
  <si>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</si>
  <si>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</si>
  <si>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</si>
  <si>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</si>
  <si>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</si>
  <si>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</si>
  <si>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</si>
  <si>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</si>
  <si>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</si>
  <si>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</si>
  <si>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</si>
  <si>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</si>
  <si>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</si>
  <si>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</si>
  <si>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</si>
  <si>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</si>
  <si>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</si>
  <si>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</si>
  <si>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</si>
  <si>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</si>
  <si>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</si>
  <si>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</si>
  <si>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</si>
  <si>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</si>
  <si>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</si>
  <si>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</si>
  <si>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</si>
  <si>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</si>
  <si>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</si>
  <si>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</si>
  <si>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</si>
  <si>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</si>
  <si>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</si>
  <si>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</si>
  <si>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</si>
  <si>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</si>
  <si>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</si>
  <si>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</si>
  <si>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</si>
  <si>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</si>
  <si>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</si>
  <si>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</si>
  <si>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</si>
  <si>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</si>
  <si>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</si>
  <si>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</si>
  <si>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</si>
  <si>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</si>
  <si>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</si>
  <si>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</si>
  <si>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</si>
  <si>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</si>
  <si>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</si>
  <si>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</si>
  <si>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</si>
  <si>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</si>
  <si>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</si>
  <si>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</si>
  <si>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</si>
  <si>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</si>
  <si>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</si>
  <si>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</si>
  <si>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</si>
  <si>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</si>
  <si>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</si>
  <si>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</si>
  <si>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</si>
  <si>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</si>
  <si>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</si>
  <si>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</si>
  <si>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</si>
  <si>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</si>
  <si>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</si>
  <si>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</si>
  <si>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</si>
  <si>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</si>
  <si>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</si>
  <si>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</si>
  <si>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</si>
  <si>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</si>
  <si>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</si>
  <si>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</si>
  <si>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</si>
  <si>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</si>
  <si>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</si>
  <si>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</si>
  <si>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</si>
  <si>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</si>
  <si>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</si>
  <si>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</si>
  <si>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</si>
  <si>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</si>
  <si>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</si>
  <si>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</si>
  <si>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</si>
  <si>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</si>
  <si>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</si>
  <si>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</si>
  <si>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</si>
  <si>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</si>
  <si>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</si>
  <si>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</si>
  <si>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</si>
  <si>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</si>
  <si>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</si>
  <si>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</si>
  <si>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</si>
  <si>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</si>
  <si>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</si>
  <si>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</si>
  <si>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</si>
  <si>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</si>
  <si>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</si>
  <si>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</si>
  <si>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</si>
  <si>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</si>
  <si>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</si>
  <si>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</si>
  <si>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</si>
  <si>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</si>
  <si>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</si>
  <si>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</si>
  <si>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</si>
  <si>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</si>
  <si>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</si>
  <si>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</si>
  <si>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</si>
  <si>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</si>
  <si>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</si>
  <si>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</si>
  <si>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</si>
  <si>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</si>
  <si>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</si>
  <si>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</si>
  <si>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</si>
  <si>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</si>
  <si>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</si>
  <si>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</si>
  <si>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</si>
  <si>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</si>
  <si>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</si>
  <si>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</si>
  <si>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</si>
  <si>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</si>
  <si>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</si>
  <si>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</si>
  <si>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</si>
  <si>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</si>
  <si>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</si>
  <si>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</si>
  <si>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</si>
  <si>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</si>
  <si>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</si>
  <si>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</si>
  <si>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</si>
  <si>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</si>
  <si>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</si>
  <si>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</si>
  <si>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</si>
  <si>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</si>
  <si>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</si>
  <si>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</si>
  <si>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</si>
  <si>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</si>
  <si>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</si>
  <si>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</si>
  <si>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</si>
  <si>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</si>
  <si>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</si>
  <si>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</si>
  <si>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</si>
  <si>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</si>
  <si>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</si>
  <si>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</si>
  <si>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</si>
  <si>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</si>
  <si>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</si>
  <si>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</si>
  <si>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</si>
  <si>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</si>
  <si>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</si>
  <si>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</si>
  <si>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</si>
  <si>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</si>
  <si>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</si>
  <si>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</si>
  <si>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</si>
  <si>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</si>
  <si>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</si>
  <si>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</si>
  <si>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</si>
  <si>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</si>
  <si>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</si>
  <si>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</si>
  <si>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</si>
  <si>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</si>
  <si>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</si>
  <si>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</si>
  <si>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</si>
  <si>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</si>
  <si>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</si>
  <si>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</si>
  <si>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</si>
  <si>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</si>
  <si>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</si>
  <si>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</si>
  <si>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</si>
  <si>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</si>
  <si>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</si>
  <si>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</si>
  <si>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</si>
  <si>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</si>
  <si>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</si>
  <si>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</si>
  <si>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</si>
  <si>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</si>
  <si>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</si>
  <si>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</si>
  <si>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</si>
  <si>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</si>
  <si>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</si>
  <si>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</si>
  <si>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</si>
  <si>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</si>
  <si>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</si>
  <si>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</si>
  <si>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</si>
  <si>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</si>
  <si>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</si>
  <si>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</si>
  <si>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</si>
  <si>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</si>
  <si>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</si>
  <si>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</si>
  <si>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</si>
  <si>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</si>
  <si>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</si>
  <si>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</si>
  <si>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</si>
  <si>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</si>
  <si>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</si>
  <si>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</si>
  <si>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</si>
  <si>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</si>
  <si>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</si>
  <si>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</si>
  <si>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</si>
  <si>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</si>
  <si>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</si>
  <si>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</si>
  <si>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</si>
  <si>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</si>
  <si>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</si>
  <si>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</si>
  <si>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</si>
  <si>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</si>
  <si>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</si>
  <si>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</si>
  <si>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</si>
  <si>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</si>
  <si>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</si>
  <si>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</si>
  <si>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</si>
  <si>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</si>
  <si>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</si>
  <si>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</si>
  <si>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</si>
  <si>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</si>
  <si>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</si>
  <si>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</si>
  <si>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</si>
  <si>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</si>
  <si>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</si>
  <si>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</si>
  <si>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</si>
  <si>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</si>
  <si>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</si>
  <si>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</si>
  <si>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</si>
  <si>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</si>
  <si>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</si>
  <si>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</si>
  <si>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</si>
  <si>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</si>
  <si>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</si>
  <si>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</si>
  <si>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</si>
  <si>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</si>
  <si>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</si>
  <si>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</si>
  <si>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</si>
  <si>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</si>
  <si>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</si>
  <si>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</si>
  <si>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</si>
  <si>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</si>
  <si>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</si>
  <si>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</si>
  <si>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</si>
  <si>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</si>
  <si>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</si>
  <si>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</si>
  <si>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</si>
  <si>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</si>
  <si>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</si>
  <si>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</si>
  <si>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</si>
  <si>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</si>
  <si>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</si>
  <si>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</si>
  <si>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</si>
  <si>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</si>
  <si>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</si>
  <si>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</si>
  <si>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</si>
  <si>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</si>
  <si>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</si>
  <si>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</si>
  <si>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</si>
  <si>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</si>
  <si>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</si>
  <si>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</si>
  <si>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</si>
  <si>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</si>
  <si>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</si>
  <si>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</si>
  <si>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</si>
  <si>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</si>
  <si>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</si>
  <si>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</si>
  <si>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</si>
  <si>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</si>
  <si>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</si>
  <si>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</si>
  <si>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</si>
  <si>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</si>
  <si>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</si>
  <si>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</si>
  <si>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</si>
  <si>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</si>
  <si>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</si>
  <si>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</si>
  <si>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</si>
  <si>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</si>
  <si>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</si>
  <si>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</si>
  <si>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</si>
  <si>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</si>
  <si>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</si>
  <si>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</si>
  <si>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</si>
  <si>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</si>
  <si>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</si>
  <si>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</si>
  <si>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</si>
  <si>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</si>
  <si>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</si>
  <si>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</si>
  <si>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</si>
  <si>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</si>
  <si>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</si>
  <si>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</si>
  <si>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</si>
  <si>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</si>
  <si>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</si>
  <si>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</si>
  <si>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</si>
  <si>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</si>
  <si>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</si>
  <si>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</si>
  <si>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</si>
  <si>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</si>
  <si>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</si>
  <si>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</si>
  <si>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</si>
  <si>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</si>
  <si>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</si>
  <si>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</si>
  <si>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</si>
  <si>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</si>
  <si>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</si>
  <si>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</si>
  <si>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</si>
  <si>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</si>
  <si>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</si>
  <si>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</si>
  <si>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</si>
  <si>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</si>
  <si>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</si>
  <si>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</si>
  <si>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</si>
  <si>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</si>
  <si>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</si>
  <si>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</si>
  <si>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</si>
  <si>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</si>
  <si>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</si>
  <si>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</si>
  <si>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</si>
  <si>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</si>
  <si>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</si>
  <si>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</si>
  <si>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</si>
  <si>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</si>
  <si>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</si>
  <si>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</si>
  <si>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</si>
  <si>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</si>
  <si>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</si>
  <si>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</si>
  <si>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</si>
  <si>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</si>
  <si>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</si>
  <si>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</si>
  <si>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</si>
  <si>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</si>
  <si>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</si>
  <si>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</si>
  <si>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</si>
  <si>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</si>
  <si>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</si>
  <si>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</si>
  <si>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</si>
  <si>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</si>
  <si>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</si>
  <si>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</si>
  <si>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</si>
  <si>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</si>
  <si>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</si>
  <si>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</si>
  <si>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</si>
  <si>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</si>
  <si>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</si>
  <si>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</si>
  <si>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</si>
  <si>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</si>
  <si>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</si>
  <si>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</si>
  <si>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</si>
  <si>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</si>
  <si>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</si>
  <si>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</si>
  <si>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</si>
  <si>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</si>
  <si>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</si>
  <si>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</si>
  <si>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</si>
  <si>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</si>
  <si>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</si>
  <si>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</si>
  <si>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</si>
  <si>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</si>
  <si>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</si>
  <si>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</si>
  <si>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</si>
  <si>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</si>
  <si>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</si>
  <si>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</si>
  <si>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</si>
  <si>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</si>
  <si>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</si>
  <si>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</si>
  <si>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</si>
  <si>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</si>
  <si>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</si>
  <si>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</si>
  <si>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</si>
  <si>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</si>
  <si>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</si>
  <si>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</si>
  <si>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</si>
  <si>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</si>
  <si>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</si>
  <si>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</si>
  <si>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</si>
  <si>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</si>
  <si>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</si>
  <si>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</si>
  <si>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</si>
  <si>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</si>
  <si>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</si>
  <si>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</si>
  <si>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</si>
  <si>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</si>
  <si>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</si>
  <si>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</si>
  <si>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</si>
  <si>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</si>
  <si>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</si>
  <si>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</si>
  <si>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</si>
  <si>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</si>
  <si>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</si>
  <si>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</si>
  <si>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</si>
  <si>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</si>
  <si>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</si>
  <si>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</si>
  <si>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</si>
  <si>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</si>
  <si>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</si>
  <si>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</si>
  <si>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</si>
  <si>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</si>
  <si>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</si>
  <si>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</si>
  <si>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</si>
  <si>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</si>
  <si>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</si>
  <si>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</si>
  <si>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</si>
  <si>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</si>
  <si>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</si>
  <si>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</si>
  <si>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</si>
  <si>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</si>
  <si>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</si>
  <si>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</si>
  <si>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</si>
  <si>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</si>
  <si>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</si>
  <si>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</si>
  <si>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</si>
  <si>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</si>
  <si>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</si>
  <si>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</si>
  <si>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</si>
  <si>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</si>
  <si>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</si>
  <si>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</si>
  <si>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</si>
  <si>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</si>
  <si>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</si>
  <si>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</si>
  <si>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</si>
  <si>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</si>
  <si>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</si>
  <si>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</si>
  <si>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</si>
  <si>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</si>
  <si>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</si>
  <si>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</si>
  <si>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</si>
  <si>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</si>
  <si>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</si>
  <si>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</si>
  <si>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</si>
  <si>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</si>
  <si>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</si>
  <si>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</si>
  <si>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</si>
  <si>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</si>
  <si>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</si>
  <si>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</si>
  <si>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</si>
  <si>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</si>
  <si>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</si>
  <si>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</si>
  <si>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</si>
  <si>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</si>
  <si>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</si>
  <si>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</si>
  <si>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</si>
  <si>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</si>
  <si>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</si>
  <si>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</si>
  <si>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</si>
  <si>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</si>
  <si>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</si>
  <si>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</si>
  <si>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</si>
  <si>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</si>
  <si>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</si>
  <si>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</si>
  <si>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</si>
  <si>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</si>
  <si>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</si>
  <si>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</si>
  <si>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</si>
  <si>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</si>
  <si>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579.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</si>
  <si>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</si>
  <si>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</si>
  <si>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</si>
  <si>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</si>
  <si>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</si>
  <si>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</si>
  <si>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</si>
  <si>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</si>
  <si>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</si>
  <si>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</si>
  <si>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</si>
  <si>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</si>
  <si>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</si>
  <si>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</si>
  <si>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</si>
  <si>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</si>
  <si>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</si>
  <si>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</si>
  <si>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</si>
  <si>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</si>
  <si>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</si>
  <si>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</si>
  <si>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</si>
  <si>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</si>
  <si>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</si>
  <si>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</si>
  <si>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</si>
  <si>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</si>
  <si>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</si>
  <si>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</si>
  <si>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</si>
  <si>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</si>
  <si>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</si>
  <si>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</si>
  <si>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</si>
  <si>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</si>
  <si>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</si>
  <si>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</si>
  <si>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</si>
  <si>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</si>
  <si>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</si>
  <si>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</si>
  <si>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</si>
  <si>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</si>
  <si>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</si>
  <si>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</si>
  <si>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</si>
  <si>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</si>
  <si>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</si>
  <si>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</si>
  <si>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</si>
  <si>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</si>
  <si>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</si>
  <si>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</si>
  <si>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</si>
  <si>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</si>
  <si>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</si>
  <si>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</si>
  <si>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</si>
  <si>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</si>
  <si>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</si>
  <si>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</si>
  <si>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</si>
  <si>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</si>
  <si>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</si>
  <si>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</si>
  <si>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</si>
  <si>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</si>
  <si>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</si>
  <si>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</si>
  <si>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</si>
  <si>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</si>
  <si>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</si>
  <si>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</si>
  <si>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</si>
  <si>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</si>
  <si>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</si>
  <si>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</si>
  <si>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</si>
  <si>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</si>
  <si>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</si>
  <si>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</si>
  <si>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</si>
  <si>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</si>
  <si>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</si>
  <si>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</si>
  <si>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</si>
  <si>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</si>
  <si>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</si>
  <si>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</si>
  <si>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</si>
  <si>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</si>
  <si>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</si>
  <si>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</si>
  <si>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</si>
  <si>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</si>
  <si>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</si>
  <si>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</si>
  <si>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</si>
  <si>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</si>
  <si>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</si>
  <si>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</si>
  <si>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</si>
  <si>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</si>
  <si>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</si>
  <si>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</si>
  <si>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</si>
  <si>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</si>
  <si>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</si>
  <si>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</si>
  <si>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</si>
  <si>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</si>
  <si>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</si>
  <si>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</si>
  <si>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</si>
  <si>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</si>
  <si>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</si>
  <si>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</si>
  <si>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</si>
  <si>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</si>
  <si>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</si>
  <si>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</si>
  <si>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</si>
  <si>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</si>
  <si>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</si>
  <si>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</si>
  <si>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</si>
  <si>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</si>
  <si>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</si>
  <si>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</si>
  <si>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</si>
  <si>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</si>
  <si>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</si>
  <si>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</si>
  <si>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</si>
  <si>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</si>
  <si>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</si>
  <si>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</si>
  <si>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</si>
  <si>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</si>
  <si>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</si>
  <si>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</si>
  <si>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</si>
  <si>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</si>
  <si>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</si>
  <si>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</si>
  <si>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</si>
  <si>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</si>
  <si>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</si>
  <si>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</si>
  <si>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</si>
  <si>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</si>
  <si>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</si>
  <si>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</si>
  <si>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</si>
  <si>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</si>
  <si>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</si>
  <si>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</si>
  <si>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</si>
  <si>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</si>
  <si>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</si>
  <si>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</si>
  <si>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</si>
  <si>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</si>
  <si>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</si>
  <si>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</si>
  <si>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</si>
  <si>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</si>
  <si>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</si>
  <si>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</si>
  <si>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</si>
  <si>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</si>
  <si>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</si>
  <si>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</si>
  <si>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</si>
  <si>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</si>
  <si>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</si>
  <si>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</si>
  <si>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</si>
  <si>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</si>
  <si>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</si>
  <si>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</si>
  <si>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</si>
  <si>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</si>
  <si>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</si>
  <si>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</si>
  <si>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</si>
  <si>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</si>
  <si>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</si>
  <si>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</si>
  <si>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</si>
  <si>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</si>
  <si>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</si>
  <si>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</si>
  <si>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</si>
  <si>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</si>
  <si>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</si>
  <si>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</si>
  <si>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</si>
  <si>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</si>
  <si>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</si>
  <si>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</si>
  <si>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</si>
  <si>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</si>
  <si>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</si>
  <si>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</si>
  <si>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</si>
  <si>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</si>
  <si>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</si>
  <si>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</si>
  <si>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</si>
  <si>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</si>
  <si>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</si>
  <si>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</si>
  <si>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</si>
  <si>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</si>
  <si>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</si>
  <si>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</si>
  <si>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</si>
  <si>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</si>
  <si>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</si>
  <si>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563, 566, 570 do 572, 582, 585, 619 do 621, 624, 627, 720, 722, 724, 726. Ako je na bilo kojoj od ovih AOP oznaka upisan iznos, a obrazac je razine 12 obrazac je neispravan.</t>
    </r>
  </si>
  <si>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</si>
  <si>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popunjene AOP oznake:</t>
    </r>
    <r>
      <rPr>
        <sz val="10"/>
        <rFont val="Arial"/>
        <charset val="238"/>
      </rPr>
      <t xml:space="preserve"> 417 do 419, 432 do 434, 438, 439, 454, 455, 458 do 461, 464, 473, 476, 481 do 482, 493 i 494. Ako je na bilo kojoj od ovih AOP oznaka upisan iznos, a obrazac je razine 11, kontrola javlja grešku i obrazac je neispravan. </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</si>
  <si>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</si>
  <si>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charset val="238"/>
      </rPr>
      <t>12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</si>
  <si>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</si>
  <si>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</si>
  <si>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</si>
  <si>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</si>
  <si>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</si>
  <si>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</si>
  <si>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</si>
  <si>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</si>
  <si>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</si>
  <si>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</si>
  <si>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</si>
  <si>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</si>
  <si>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</si>
  <si>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</si>
  <si>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</si>
  <si>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</si>
  <si>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</si>
  <si>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</si>
  <si>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</si>
  <si>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</si>
  <si>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</si>
  <si>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</si>
  <si>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</si>
  <si>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</si>
  <si>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</si>
  <si>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</si>
  <si>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</si>
  <si>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</si>
  <si>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</si>
  <si>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</si>
  <si>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</si>
  <si>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</si>
  <si>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</si>
  <si>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</si>
  <si>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</si>
  <si>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</si>
  <si>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</si>
  <si>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</si>
  <si>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</si>
  <si>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</si>
  <si>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</si>
  <si>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</si>
  <si>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</si>
  <si>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</si>
  <si>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</si>
  <si>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</si>
  <si>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</si>
  <si>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</si>
  <si>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</si>
  <si>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</si>
  <si>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</si>
  <si>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</si>
  <si>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</si>
  <si>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</si>
  <si>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</si>
  <si>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</si>
  <si>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</si>
  <si>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</si>
  <si>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</si>
  <si>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</si>
  <si>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</si>
  <si>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</si>
  <si>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</si>
  <si>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</si>
  <si>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</si>
  <si>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</si>
  <si>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</si>
  <si>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</si>
  <si>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</si>
  <si>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</si>
  <si>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</si>
  <si>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</si>
  <si>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</si>
  <si>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</si>
  <si>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</si>
  <si>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</si>
  <si>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</si>
  <si>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</si>
  <si>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</si>
  <si>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</si>
  <si>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</si>
  <si>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</si>
  <si>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</si>
  <si>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</si>
  <si>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</si>
  <si>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</si>
  <si>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</si>
  <si>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</si>
  <si>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</si>
  <si>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</si>
  <si>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</si>
  <si>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</si>
  <si>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</si>
  <si>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</si>
  <si>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</si>
  <si>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</si>
  <si>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</si>
  <si>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</si>
  <si>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</si>
  <si>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</si>
  <si>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</si>
  <si>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</si>
  <si>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</si>
  <si>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</si>
  <si>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</si>
  <si>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</si>
  <si>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</si>
  <si>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</si>
  <si>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</si>
  <si>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</si>
  <si>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</si>
  <si>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</si>
  <si>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</si>
  <si>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</si>
  <si>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</si>
  <si>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</si>
  <si>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</si>
  <si>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</si>
  <si>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</si>
  <si>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</si>
  <si>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</si>
  <si>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</si>
  <si>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</si>
  <si>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</si>
  <si>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</si>
  <si>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</si>
  <si>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</si>
  <si>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</si>
  <si>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</si>
  <si>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</si>
  <si>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</si>
  <si>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</si>
  <si>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</si>
  <si>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</si>
  <si>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</si>
  <si>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</si>
  <si>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</si>
  <si>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</si>
  <si>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</si>
  <si>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</si>
  <si>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</si>
  <si>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</si>
  <si>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</si>
  <si>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</si>
  <si>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</si>
  <si>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</si>
  <si>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</si>
  <si>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</si>
  <si>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</si>
  <si>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</si>
  <si>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</si>
  <si>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</si>
  <si>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</si>
  <si>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</si>
  <si>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</si>
  <si>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</si>
  <si>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</si>
  <si>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</si>
  <si>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</si>
  <si>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</si>
  <si>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</si>
  <si>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</si>
  <si>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</si>
  <si>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</si>
  <si>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</si>
  <si>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</si>
  <si>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</si>
  <si>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</si>
  <si>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</si>
  <si>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</si>
  <si>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</si>
  <si>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</si>
  <si>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</si>
  <si>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12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</si>
  <si>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</si>
  <si>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</si>
  <si>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</si>
  <si>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</si>
  <si>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</si>
  <si>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</si>
  <si>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</si>
  <si>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</si>
  <si>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</si>
  <si>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</si>
  <si>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</si>
  <si>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</si>
  <si>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</si>
  <si>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</si>
  <si>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</si>
  <si>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</si>
  <si>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</si>
  <si>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</si>
  <si>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</si>
  <si>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</si>
  <si>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</si>
  <si>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</si>
  <si>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</si>
  <si>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</si>
  <si>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</si>
  <si>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</si>
  <si>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</si>
  <si>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</si>
  <si>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</si>
  <si>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</si>
  <si>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</si>
  <si>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</si>
  <si>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</si>
  <si>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</si>
  <si>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</si>
  <si>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</si>
  <si>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</si>
  <si>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</si>
  <si>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</si>
  <si>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</si>
  <si>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</si>
  <si>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</si>
  <si>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</si>
  <si>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</si>
  <si>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</si>
  <si>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</si>
  <si>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</si>
  <si>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</si>
  <si>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</si>
  <si>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</si>
  <si>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</si>
  <si>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</si>
  <si>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</si>
  <si>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</si>
  <si>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</si>
  <si>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</si>
  <si>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</si>
  <si>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</si>
  <si>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</si>
  <si>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</si>
  <si>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</si>
  <si>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</si>
  <si>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</si>
  <si>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</si>
  <si>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</si>
  <si>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</si>
  <si>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</si>
  <si>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</si>
  <si>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</si>
  <si>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</si>
  <si>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</si>
  <si>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</si>
  <si>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</si>
  <si>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</si>
  <si>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</si>
  <si>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</si>
  <si>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</si>
  <si>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</si>
  <si>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</si>
  <si>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</si>
  <si>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</si>
  <si>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</si>
  <si>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</si>
  <si>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</si>
  <si>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</si>
  <si>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</si>
  <si>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</si>
  <si>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</si>
  <si>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</si>
  <si>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</si>
  <si>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</si>
  <si>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</si>
  <si>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</si>
  <si>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</si>
  <si>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</si>
  <si>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</si>
  <si>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</si>
  <si>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</si>
  <si>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</si>
  <si>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</si>
  <si>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</si>
  <si>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</si>
  <si>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</si>
  <si>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</si>
  <si>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</si>
  <si>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</si>
  <si>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</si>
  <si>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</si>
  <si>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</si>
  <si>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</si>
  <si>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</si>
  <si>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</si>
  <si>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</si>
  <si>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</si>
  <si>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</si>
  <si>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</si>
  <si>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</si>
  <si>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</si>
  <si>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</si>
  <si>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</si>
  <si>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</si>
  <si>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</si>
  <si>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</si>
  <si>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</si>
  <si>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</si>
  <si>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</si>
  <si>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</si>
  <si>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</si>
  <si>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</si>
  <si>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</si>
  <si>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</si>
  <si>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</si>
  <si>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</si>
  <si>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</si>
  <si>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</si>
  <si>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</si>
  <si>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</si>
  <si>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</si>
  <si>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</si>
  <si>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</si>
  <si>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</si>
  <si>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</si>
  <si>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</si>
  <si>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</si>
  <si>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</si>
  <si>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</si>
  <si>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</si>
  <si>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</si>
  <si>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</si>
  <si>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</si>
  <si>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</si>
  <si>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</si>
  <si>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</si>
  <si>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</si>
  <si>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</si>
  <si>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</si>
  <si>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</si>
  <si>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</si>
  <si>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</si>
  <si>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</si>
  <si>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</si>
  <si>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</si>
  <si>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</si>
  <si>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</si>
  <si>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</si>
  <si>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</si>
  <si>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</si>
  <si>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</si>
  <si>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</si>
  <si>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</si>
  <si>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</si>
  <si>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</si>
  <si>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</si>
  <si>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</si>
  <si>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</si>
  <si>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</si>
  <si>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</si>
  <si>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</si>
  <si>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</si>
  <si>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</si>
  <si>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</si>
  <si>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</si>
  <si>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</si>
  <si>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</si>
  <si>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</si>
  <si>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</si>
  <si>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</si>
  <si>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</si>
  <si>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</si>
  <si>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</si>
  <si>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</si>
  <si>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</si>
  <si>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</si>
  <si>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</si>
  <si>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</si>
  <si>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</si>
  <si>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</si>
  <si>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</si>
  <si>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</si>
  <si>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</si>
  <si>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</si>
  <si>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</si>
  <si>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</si>
  <si>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</si>
  <si>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</si>
  <si>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</si>
  <si>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</si>
  <si>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</si>
  <si>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</si>
  <si>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</si>
  <si>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</si>
  <si>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</si>
  <si>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</si>
  <si>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</si>
  <si>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</si>
  <si>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</si>
  <si>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</si>
  <si>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</si>
  <si>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</si>
  <si>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</si>
  <si>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</si>
  <si>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</si>
  <si>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</si>
  <si>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</si>
  <si>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</si>
  <si>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</si>
  <si>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</si>
  <si>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</si>
  <si>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</si>
  <si>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</si>
  <si>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</si>
  <si>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</si>
  <si>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</si>
  <si>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</si>
  <si>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</si>
  <si>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</si>
  <si>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</si>
  <si>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</si>
  <si>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</si>
  <si>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</si>
  <si>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</si>
  <si>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</si>
  <si>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</si>
  <si>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</si>
  <si>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</si>
  <si>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</si>
  <si>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</si>
  <si>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</si>
  <si>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</si>
  <si>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</si>
  <si>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</si>
  <si>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</si>
  <si>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</si>
  <si>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</si>
  <si>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</si>
  <si>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</si>
  <si>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</si>
  <si>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</si>
  <si>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</si>
  <si>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</si>
  <si>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</si>
  <si>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</si>
  <si>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</si>
  <si>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</si>
  <si>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</si>
  <si>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</si>
  <si>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</si>
  <si>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</si>
  <si>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</si>
  <si>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</si>
  <si>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</si>
  <si>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</si>
  <si>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</si>
  <si>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</si>
  <si>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</si>
  <si>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</si>
  <si>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</si>
  <si>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</si>
  <si>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</si>
  <si>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</si>
  <si>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</si>
  <si>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</si>
  <si>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</si>
  <si>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</si>
  <si>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</si>
  <si>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</si>
  <si>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</si>
  <si>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</si>
  <si>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</si>
  <si>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</si>
  <si>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</si>
  <si>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</si>
  <si>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</si>
  <si>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</si>
  <si>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</si>
  <si>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</si>
  <si>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</si>
  <si>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</si>
  <si>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</si>
  <si>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</si>
  <si>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</si>
  <si>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</si>
  <si>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</si>
  <si>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</si>
  <si>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</si>
  <si>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</si>
  <si>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</si>
  <si>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</si>
  <si>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</si>
  <si>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</si>
  <si>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</si>
  <si>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</si>
  <si>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</si>
  <si>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</si>
  <si>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</si>
  <si>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</si>
  <si>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</si>
  <si>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</si>
  <si>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</si>
  <si>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</si>
  <si>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</si>
  <si>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</si>
  <si>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</si>
  <si>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</si>
  <si>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</si>
  <si>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</si>
  <si>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</si>
  <si>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</si>
  <si>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</si>
  <si>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</si>
  <si>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</si>
  <si>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</si>
  <si>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</si>
  <si>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</si>
  <si>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</si>
  <si>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</si>
  <si>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</si>
  <si>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</si>
  <si>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</si>
  <si>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</si>
  <si>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</si>
  <si>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</si>
  <si>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</si>
  <si>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</si>
  <si>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</si>
  <si>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</si>
  <si>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</si>
  <si>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</si>
  <si>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</si>
  <si>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</si>
  <si>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</si>
  <si>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</si>
  <si>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</si>
  <si>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</si>
  <si>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</si>
  <si>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</si>
  <si>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</si>
  <si>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</si>
  <si>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</si>
  <si>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</si>
  <si>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</si>
  <si>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</si>
  <si>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</si>
  <si>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</si>
  <si>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</si>
  <si>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</si>
  <si>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</si>
  <si>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</si>
  <si>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</si>
  <si>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</si>
  <si>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</si>
  <si>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</si>
  <si>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</si>
  <si>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</si>
  <si>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</si>
  <si>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</si>
  <si>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</si>
  <si>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</si>
  <si>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</si>
  <si>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</si>
  <si>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</si>
  <si>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</si>
  <si>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</si>
  <si>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</si>
  <si>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</si>
  <si>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</si>
  <si>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</si>
  <si>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</si>
  <si>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</si>
  <si>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</si>
  <si>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</si>
  <si>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</si>
  <si>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</si>
  <si>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</si>
  <si>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</si>
  <si>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</si>
  <si>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</si>
  <si>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</si>
  <si>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</si>
  <si>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</si>
  <si>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</si>
  <si>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</si>
  <si>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</si>
  <si>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</si>
  <si>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</si>
  <si>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</si>
  <si>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</si>
  <si>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</si>
  <si>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</si>
  <si>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</si>
  <si>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</si>
  <si>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</si>
  <si>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</si>
  <si>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</si>
  <si>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</si>
  <si>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</si>
  <si>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</si>
  <si>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</si>
  <si>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</si>
  <si>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</si>
  <si>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</si>
  <si>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</si>
  <si>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</si>
  <si>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</si>
  <si>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</si>
  <si>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</si>
  <si>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</si>
  <si>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</si>
  <si>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</si>
  <si>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</si>
  <si>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</si>
  <si>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</si>
  <si>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</si>
  <si>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</si>
  <si>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</si>
  <si>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</si>
  <si>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</si>
  <si>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</si>
  <si>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</si>
  <si>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</si>
  <si>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</si>
  <si>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</si>
  <si>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</si>
  <si>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</si>
  <si>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</si>
  <si>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</si>
  <si>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</si>
  <si>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</si>
  <si>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</si>
  <si>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</si>
  <si>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</si>
  <si>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</si>
  <si>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</si>
  <si>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</si>
  <si>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</si>
  <si>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</si>
  <si>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</si>
  <si>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</si>
  <si>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</si>
  <si>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</si>
  <si>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</si>
  <si>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</si>
  <si>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</si>
  <si>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</si>
  <si>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</si>
  <si>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</si>
  <si>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</si>
  <si>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</si>
  <si>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</si>
  <si>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</si>
  <si>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</si>
  <si>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</si>
  <si>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</si>
  <si>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</si>
  <si>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</si>
  <si>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</si>
  <si>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</si>
  <si>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</si>
  <si>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</si>
  <si>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</si>
  <si>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</si>
  <si>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</si>
  <si>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</si>
  <si>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</si>
  <si>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</si>
  <si>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</si>
  <si>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</si>
  <si>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</si>
  <si>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</si>
  <si>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</si>
  <si>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</si>
  <si>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</si>
  <si>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</si>
  <si>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</si>
  <si>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</si>
  <si>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</si>
  <si>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</si>
  <si>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</si>
  <si>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</si>
  <si>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</si>
  <si>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</si>
  <si>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</si>
  <si>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</si>
  <si>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</si>
  <si>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t xml:space="preserve">Razina </t>
    </r>
    <r>
      <rPr>
        <b/>
        <sz val="10"/>
        <rFont val="Arial"/>
        <charset val="238"/>
      </rPr>
      <t>11 ne smije imati popunjene AOP oznake:</t>
    </r>
    <r>
      <rPr>
        <sz val="10"/>
        <rFont val="Arial"/>
        <charset val="238"/>
      </rPr>
      <t xml:space="preserve"> 585, 603, 604, 607, 619, 621, 624, 627, 703, 704, 720, 724, 726. Ako je na bilo kojoj od ovih AOP oznaka upisan iznos, a obrazac je razine 11, kontrola javlja grešku i obrazac je neispravan.</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</si>
  <si>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</si>
  <si>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</si>
  <si>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</si>
  <si>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</si>
  <si>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</si>
  <si>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</si>
  <si>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</si>
  <si>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</si>
  <si>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</si>
  <si>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 xml:space="preserve">OPĆINA FERDINANDOVAC </t>
  </si>
  <si>
    <t xml:space="preserve">FERDINANDOVAC </t>
  </si>
  <si>
    <t>TRG SLOBODE 28</t>
  </si>
  <si>
    <t>Željka Bosorić Baruškin</t>
  </si>
  <si>
    <t>048210007</t>
  </si>
  <si>
    <t>048817200</t>
  </si>
  <si>
    <t>opcina-ferdinandovac@kc.t-com.hr</t>
  </si>
  <si>
    <t>Vjekoslav Maletić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</si>
</sst>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8"/>
      <name val="Arial"/>
      <family val="2"/>
      <charset val="238"/>
    </font>
    <font>
      <sz val="9"/>
      <color indexed="18"/>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0">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0" borderId="18" xfId="0" applyFont="1" applyBorder="1" applyAlignment="1" applyProtection="1">
      <alignment vertical="center" wrapText="1"/>
      <protection hidden="1"/>
    </xf>
    <xf numFmtId="0" fontId="50" fillId="0" borderId="18" xfId="0" applyFont="1" applyFill="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1" fillId="0" borderId="18" xfId="0" applyFont="1" applyBorder="1" applyAlignment="1" applyProtection="1">
      <alignment vertical="center" wrapText="1"/>
      <protection hidden="1"/>
    </xf>
    <xf numFmtId="0" fontId="18" fillId="6" borderId="7" xfId="0" applyFont="1" applyFill="1" applyBorder="1" applyAlignment="1" applyProtection="1">
      <alignment vertical="center" wrapText="1"/>
      <protection hidden="1"/>
    </xf>
    <xf numFmtId="0" fontId="11" fillId="8" borderId="19" xfId="0" applyFont="1" applyFill="1" applyBorder="1" applyAlignment="1" applyProtection="1">
      <alignment horizontal="left" vertical="center" wrapText="1"/>
      <protection hidden="1"/>
    </xf>
    <xf numFmtId="3" fontId="50" fillId="0" borderId="20" xfId="0" applyNumberFormat="1" applyFont="1" applyFill="1" applyBorder="1" applyAlignment="1" applyProtection="1">
      <alignment horizontal="right" vertical="center" shrinkToFit="1"/>
      <protection locked="0"/>
    </xf>
    <xf numFmtId="3" fontId="50" fillId="0" borderId="21" xfId="0" applyNumberFormat="1" applyFont="1" applyFill="1" applyBorder="1" applyAlignment="1" applyProtection="1">
      <alignment horizontal="right" vertical="center" shrinkToFit="1"/>
      <protection locked="0"/>
    </xf>
    <xf numFmtId="3" fontId="37" fillId="0" borderId="22" xfId="0" applyNumberFormat="1" applyFont="1" applyFill="1" applyBorder="1" applyAlignment="1" applyProtection="1">
      <alignment horizontal="right" vertical="center" shrinkToFit="1"/>
      <protection hidden="1"/>
    </xf>
    <xf numFmtId="3" fontId="37" fillId="0" borderId="20"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2" xfId="0" applyNumberFormat="1" applyFont="1" applyFill="1" applyBorder="1" applyAlignment="1" applyProtection="1">
      <alignment horizontal="left" vertical="center"/>
      <protection hidden="1"/>
    </xf>
    <xf numFmtId="49" fontId="17" fillId="0" borderId="20" xfId="0" applyNumberFormat="1" applyFont="1" applyFill="1" applyBorder="1" applyAlignment="1" applyProtection="1">
      <alignment horizontal="left" vertical="center" shrinkToFit="1"/>
      <protection hidden="1"/>
    </xf>
    <xf numFmtId="49" fontId="17" fillId="0" borderId="20" xfId="0" applyNumberFormat="1" applyFont="1" applyFill="1" applyBorder="1" applyAlignment="1" applyProtection="1">
      <alignment horizontal="left" vertical="center"/>
      <protection hidden="1"/>
    </xf>
    <xf numFmtId="49" fontId="19" fillId="0" borderId="21" xfId="0" applyNumberFormat="1" applyFont="1" applyFill="1" applyBorder="1" applyAlignment="1" applyProtection="1">
      <alignment horizontal="left" vertical="center"/>
      <protection hidden="1"/>
    </xf>
    <xf numFmtId="3" fontId="37" fillId="0" borderId="21" xfId="0" applyNumberFormat="1" applyFont="1" applyFill="1" applyBorder="1" applyAlignment="1" applyProtection="1">
      <alignment horizontal="right" vertical="center" shrinkToFit="1"/>
      <protection hidden="1"/>
    </xf>
    <xf numFmtId="0" fontId="37" fillId="2" borderId="23" xfId="3" applyFont="1" applyFill="1" applyBorder="1" applyAlignment="1" applyProtection="1">
      <alignment horizontal="center" vertical="center" wrapText="1"/>
      <protection hidden="1"/>
    </xf>
    <xf numFmtId="0" fontId="37" fillId="2" borderId="24" xfId="0" applyFont="1" applyFill="1" applyBorder="1" applyAlignment="1" applyProtection="1">
      <alignment horizontal="center" vertical="center" wrapTex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78" fontId="27" fillId="0" borderId="29" xfId="0" applyNumberFormat="1" applyFont="1" applyFill="1" applyBorder="1" applyAlignment="1" applyProtection="1">
      <alignment horizontal="center" vertical="center"/>
      <protection hidden="1"/>
    </xf>
    <xf numFmtId="3" fontId="27" fillId="0" borderId="29" xfId="0" applyNumberFormat="1" applyFont="1" applyFill="1" applyBorder="1" applyAlignment="1" applyProtection="1">
      <alignment horizontal="right" vertical="center" shrinkToFit="1"/>
      <protection hidden="1"/>
    </xf>
    <xf numFmtId="3" fontId="27" fillId="0" borderId="30" xfId="0" applyNumberFormat="1" applyFont="1" applyFill="1" applyBorder="1" applyAlignment="1" applyProtection="1">
      <alignment horizontal="right" vertical="center" shrinkToFit="1"/>
      <protection hidden="1"/>
    </xf>
    <xf numFmtId="182" fontId="50" fillId="0" borderId="31" xfId="0" applyNumberFormat="1" applyFont="1" applyFill="1" applyBorder="1" applyAlignment="1" applyProtection="1">
      <alignment horizontal="right" vertical="center"/>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182" fontId="50" fillId="0" borderId="34" xfId="0" applyNumberFormat="1" applyFont="1" applyFill="1" applyBorder="1" applyAlignment="1" applyProtection="1">
      <alignment horizontal="right" vertical="center"/>
      <protection hidden="1"/>
    </xf>
    <xf numFmtId="49" fontId="28" fillId="0" borderId="35" xfId="2" applyNumberFormat="1" applyFont="1" applyFill="1" applyBorder="1" applyAlignment="1" applyProtection="1">
      <alignment horizontal="left" vertical="center" wrapText="1"/>
      <protection hidden="1"/>
    </xf>
    <xf numFmtId="3" fontId="37" fillId="0" borderId="34" xfId="0" applyNumberFormat="1" applyFont="1" applyFill="1" applyBorder="1" applyAlignment="1" applyProtection="1">
      <alignment horizontal="right" vertical="center" shrinkToFit="1"/>
      <protection hidden="1"/>
    </xf>
    <xf numFmtId="3" fontId="37" fillId="0" borderId="31" xfId="0" applyNumberFormat="1" applyFont="1" applyFill="1" applyBorder="1" applyAlignment="1" applyProtection="1">
      <alignment horizontal="right" vertical="center" shrinkToFit="1"/>
      <protection hidden="1"/>
    </xf>
    <xf numFmtId="3" fontId="50" fillId="0" borderId="31" xfId="0" applyNumberFormat="1" applyFont="1" applyFill="1" applyBorder="1" applyAlignment="1" applyProtection="1">
      <alignment horizontal="right" vertical="center" shrinkToFit="1"/>
      <protection locked="0"/>
    </xf>
    <xf numFmtId="3" fontId="50" fillId="0" borderId="32" xfId="0" applyNumberFormat="1" applyFont="1" applyFill="1" applyBorder="1" applyAlignment="1" applyProtection="1">
      <alignment horizontal="right" vertical="center" shrinkToFit="1"/>
      <protection locked="0"/>
    </xf>
    <xf numFmtId="0" fontId="18" fillId="2" borderId="36" xfId="3" applyFont="1" applyFill="1" applyBorder="1" applyAlignment="1">
      <alignment horizontal="center" vertical="center" wrapText="1"/>
    </xf>
    <xf numFmtId="0" fontId="37" fillId="5" borderId="37" xfId="3" applyFont="1" applyFill="1" applyBorder="1" applyAlignment="1">
      <alignment horizontal="center" vertical="center"/>
    </xf>
    <xf numFmtId="3" fontId="11" fillId="0" borderId="34" xfId="0" applyNumberFormat="1" applyFont="1" applyFill="1" applyBorder="1" applyAlignment="1" applyProtection="1">
      <alignment horizontal="right" vertical="center" shrinkToFit="1"/>
      <protection locked="0"/>
    </xf>
    <xf numFmtId="3" fontId="68" fillId="0" borderId="31" xfId="0" applyNumberFormat="1" applyFont="1" applyFill="1" applyBorder="1" applyAlignment="1" applyProtection="1">
      <alignment vertical="center" wrapText="1"/>
      <protection hidden="1"/>
    </xf>
    <xf numFmtId="3" fontId="11" fillId="0" borderId="31" xfId="0" applyNumberFormat="1" applyFont="1" applyFill="1" applyBorder="1" applyAlignment="1" applyProtection="1">
      <alignment horizontal="right" vertical="center" shrinkToFit="1"/>
      <protection locked="0"/>
    </xf>
    <xf numFmtId="3" fontId="11" fillId="0" borderId="32"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18" fillId="9" borderId="38" xfId="0" applyFont="1" applyFill="1" applyBorder="1" applyAlignment="1" applyProtection="1">
      <alignment vertical="center" wrapText="1"/>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71" fillId="7" borderId="39" xfId="6" applyNumberFormat="1"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3" xfId="0" applyFont="1" applyBorder="1" applyAlignment="1" applyProtection="1">
      <alignment vertical="center" wrapText="1"/>
      <protection hidden="1"/>
    </xf>
    <xf numFmtId="0" fontId="0" fillId="0" borderId="43" xfId="0" applyBorder="1" applyAlignment="1" applyProtection="1">
      <alignment vertical="center" wrapText="1"/>
      <protection hidden="1"/>
    </xf>
    <xf numFmtId="0" fontId="15" fillId="10" borderId="39" xfId="6" applyFont="1" applyFill="1" applyBorder="1" applyAlignment="1" applyProtection="1">
      <alignment horizontal="center" vertical="center" wrapText="1"/>
      <protection hidden="1"/>
    </xf>
    <xf numFmtId="0" fontId="15" fillId="10" borderId="44" xfId="6" applyFont="1" applyFill="1" applyBorder="1" applyAlignment="1" applyProtection="1">
      <alignment horizontal="center" vertical="center" wrapText="1"/>
      <protection hidden="1"/>
    </xf>
    <xf numFmtId="0" fontId="41" fillId="0" borderId="45" xfId="6" applyFont="1" applyBorder="1" applyAlignment="1" applyProtection="1">
      <alignment horizontal="center" vertical="center"/>
      <protection hidden="1"/>
    </xf>
    <xf numFmtId="0" fontId="41" fillId="0" borderId="46" xfId="6" applyFont="1" applyBorder="1" applyAlignment="1" applyProtection="1">
      <alignment horizontal="left" vertical="center"/>
      <protection hidden="1"/>
    </xf>
    <xf numFmtId="0" fontId="41" fillId="0" borderId="47" xfId="6" applyFont="1" applyBorder="1" applyAlignment="1" applyProtection="1">
      <alignment horizontal="center" vertical="center"/>
      <protection hidden="1"/>
    </xf>
    <xf numFmtId="0" fontId="41" fillId="0" borderId="48" xfId="6" applyFont="1" applyBorder="1" applyAlignment="1" applyProtection="1">
      <alignment horizontal="left" vertical="center"/>
      <protection hidden="1"/>
    </xf>
    <xf numFmtId="0" fontId="42" fillId="0" borderId="47" xfId="6" applyFont="1" applyBorder="1" applyAlignment="1" applyProtection="1">
      <alignment horizontal="center" vertical="center"/>
      <protection hidden="1"/>
    </xf>
    <xf numFmtId="0" fontId="42" fillId="0" borderId="48" xfId="6" applyFont="1" applyBorder="1" applyAlignment="1" applyProtection="1">
      <alignment horizontal="left" vertical="center"/>
      <protection hidden="1"/>
    </xf>
    <xf numFmtId="0" fontId="40" fillId="0" borderId="47" xfId="6" applyFont="1" applyBorder="1" applyAlignment="1" applyProtection="1">
      <alignment horizontal="right" vertical="center"/>
      <protection hidden="1"/>
    </xf>
    <xf numFmtId="0" fontId="40" fillId="0" borderId="48" xfId="6" applyFont="1" applyBorder="1" applyAlignment="1" applyProtection="1">
      <alignment horizontal="left" vertical="center"/>
      <protection hidden="1"/>
    </xf>
    <xf numFmtId="0" fontId="42" fillId="0" borderId="49" xfId="6" applyFont="1" applyBorder="1" applyAlignment="1" applyProtection="1">
      <alignment horizontal="center" vertical="center"/>
      <protection hidden="1"/>
    </xf>
    <xf numFmtId="0" fontId="42" fillId="0" borderId="50" xfId="6" applyFont="1" applyBorder="1" applyAlignment="1" applyProtection="1">
      <alignment horizontal="left" vertical="center"/>
      <protection hidden="1"/>
    </xf>
    <xf numFmtId="0" fontId="40" fillId="0" borderId="49" xfId="6" applyFont="1" applyBorder="1" applyAlignment="1" applyProtection="1">
      <alignment horizontal="right" vertical="center"/>
      <protection hidden="1"/>
    </xf>
    <xf numFmtId="0" fontId="40" fillId="0" borderId="50" xfId="6" applyFont="1" applyBorder="1" applyAlignment="1" applyProtection="1">
      <alignment horizontal="left" vertical="center"/>
      <protection hidden="1"/>
    </xf>
    <xf numFmtId="0" fontId="44" fillId="11" borderId="7" xfId="4" applyFont="1" applyFill="1" applyBorder="1" applyAlignment="1" applyProtection="1">
      <alignment horizontal="center" vertical="center"/>
      <protection hidden="1"/>
    </xf>
    <xf numFmtId="0" fontId="33" fillId="11" borderId="7" xfId="6" applyFont="1" applyFill="1" applyBorder="1" applyAlignment="1" applyProtection="1">
      <alignment horizontal="center" vertical="center" wrapText="1"/>
      <protection hidden="1"/>
    </xf>
    <xf numFmtId="201" fontId="5" fillId="0" borderId="51" xfId="6" applyNumberFormat="1" applyFont="1" applyBorder="1" applyAlignment="1" applyProtection="1">
      <alignment horizontal="center" vertical="center"/>
      <protection hidden="1"/>
    </xf>
    <xf numFmtId="201" fontId="5" fillId="0" borderId="52" xfId="6" applyNumberFormat="1" applyFont="1" applyBorder="1" applyAlignment="1" applyProtection="1">
      <alignment horizontal="center" vertical="center"/>
      <protection hidden="1"/>
    </xf>
    <xf numFmtId="201" fontId="5" fillId="0" borderId="53" xfId="6" applyNumberFormat="1" applyFont="1" applyBorder="1" applyAlignment="1" applyProtection="1">
      <alignment horizontal="center" vertical="center"/>
      <protection hidden="1"/>
    </xf>
    <xf numFmtId="0" fontId="5" fillId="0" borderId="0" xfId="5" applyProtection="1">
      <protection hidden="1"/>
    </xf>
    <xf numFmtId="0" fontId="18" fillId="2" borderId="54" xfId="3" applyFont="1" applyFill="1" applyBorder="1" applyAlignment="1" applyProtection="1">
      <alignment horizontal="center" vertical="center"/>
      <protection hidden="1"/>
    </xf>
    <xf numFmtId="0" fontId="37" fillId="5" borderId="55" xfId="3" applyFont="1" applyFill="1" applyBorder="1" applyAlignment="1" applyProtection="1">
      <alignment horizontal="center" vertical="center"/>
      <protection hidden="1"/>
    </xf>
    <xf numFmtId="178" fontId="56" fillId="0" borderId="20" xfId="2" applyNumberFormat="1" applyFont="1" applyFill="1" applyBorder="1" applyAlignment="1" applyProtection="1">
      <alignment horizontal="center" vertical="center" wrapText="1"/>
      <protection hidden="1"/>
    </xf>
    <xf numFmtId="178" fontId="56" fillId="0" borderId="21" xfId="2"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37" fillId="5" borderId="57" xfId="0" applyFont="1" applyFill="1" applyBorder="1" applyAlignment="1" applyProtection="1">
      <alignment horizontal="center"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35" xfId="2" applyNumberFormat="1" applyFont="1" applyFill="1" applyBorder="1" applyAlignment="1" applyProtection="1">
      <alignment horizontal="left" vertical="center" wrapText="1"/>
      <protection hidden="1"/>
    </xf>
    <xf numFmtId="49" fontId="19" fillId="0" borderId="20" xfId="0" applyNumberFormat="1" applyFont="1" applyFill="1" applyBorder="1" applyAlignment="1" applyProtection="1">
      <alignment horizontal="left" vertical="center" wrapText="1"/>
      <protection hidden="1"/>
    </xf>
    <xf numFmtId="49" fontId="17" fillId="0" borderId="35" xfId="2" applyNumberFormat="1" applyFont="1" applyFill="1" applyBorder="1" applyAlignment="1" applyProtection="1">
      <alignment horizontal="left" vertical="center" wrapText="1"/>
      <protection hidden="1"/>
    </xf>
    <xf numFmtId="49" fontId="17" fillId="0" borderId="20" xfId="0" applyNumberFormat="1" applyFont="1" applyFill="1" applyBorder="1" applyAlignment="1" applyProtection="1">
      <alignment horizontal="left" vertical="center" wrapText="1" indent="1"/>
      <protection hidden="1"/>
    </xf>
    <xf numFmtId="49" fontId="46" fillId="0" borderId="35" xfId="2" applyNumberFormat="1" applyFont="1" applyFill="1" applyBorder="1" applyAlignment="1" applyProtection="1">
      <alignment horizontal="left" vertical="center" wrapText="1"/>
      <protection hidden="1"/>
    </xf>
    <xf numFmtId="49" fontId="53" fillId="0" borderId="35" xfId="2" applyNumberFormat="1" applyFont="1" applyFill="1" applyBorder="1" applyAlignment="1" applyProtection="1">
      <alignment horizontal="left" vertical="center" wrapText="1"/>
      <protection hidden="1"/>
    </xf>
    <xf numFmtId="49" fontId="54" fillId="0" borderId="35" xfId="2" applyNumberFormat="1" applyFont="1" applyFill="1" applyBorder="1" applyAlignment="1" applyProtection="1">
      <alignment horizontal="left" vertical="center" wrapText="1"/>
      <protection hidden="1"/>
    </xf>
    <xf numFmtId="49" fontId="57" fillId="0" borderId="35" xfId="2" applyNumberFormat="1" applyFont="1" applyFill="1" applyBorder="1" applyAlignment="1" applyProtection="1">
      <alignment horizontal="left" vertical="center" wrapText="1"/>
      <protection hidden="1"/>
    </xf>
    <xf numFmtId="49" fontId="55" fillId="0" borderId="35" xfId="2" applyNumberFormat="1" applyFont="1" applyFill="1" applyBorder="1" applyAlignment="1" applyProtection="1">
      <alignment horizontal="left" vertical="center" wrapText="1"/>
      <protection hidden="1"/>
    </xf>
    <xf numFmtId="49" fontId="17" fillId="0" borderId="20" xfId="0" applyNumberFormat="1" applyFont="1" applyBorder="1" applyAlignment="1" applyProtection="1">
      <alignment horizontal="left" vertical="center" wrapText="1" indent="1"/>
      <protection hidden="1"/>
    </xf>
    <xf numFmtId="49" fontId="17" fillId="0" borderId="58" xfId="2" applyNumberFormat="1" applyFont="1" applyFill="1" applyBorder="1" applyAlignment="1" applyProtection="1">
      <alignment horizontal="left" vertical="center" wrapText="1"/>
      <protection hidden="1"/>
    </xf>
    <xf numFmtId="49" fontId="17" fillId="0" borderId="21"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6"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4" xfId="3" applyFont="1" applyFill="1" applyBorder="1" applyAlignment="1" applyProtection="1">
      <alignment horizontal="center" vertical="center" wrapText="1"/>
      <protection hidden="1"/>
    </xf>
    <xf numFmtId="0" fontId="18" fillId="2" borderId="36" xfId="0" applyFont="1" applyFill="1" applyBorder="1" applyAlignment="1" applyProtection="1">
      <alignment horizontal="center" vertical="center" wrapText="1"/>
      <protection hidden="1"/>
    </xf>
    <xf numFmtId="0" fontId="37" fillId="5" borderId="37" xfId="0"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22" xfId="0" applyFont="1" applyBorder="1" applyAlignment="1" applyProtection="1">
      <alignment horizontal="left" vertical="center" wrapText="1"/>
      <protection hidden="1"/>
    </xf>
    <xf numFmtId="178" fontId="32" fillId="0" borderId="22" xfId="2" applyNumberFormat="1" applyFont="1" applyFill="1" applyBorder="1" applyAlignment="1" applyProtection="1">
      <alignment horizontal="center" vertical="center" wrapText="1"/>
      <protection hidden="1"/>
    </xf>
    <xf numFmtId="0" fontId="28" fillId="0" borderId="35"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58" xfId="0" applyFont="1" applyBorder="1" applyAlignment="1" applyProtection="1">
      <alignment vertical="center" wrapText="1"/>
      <protection hidden="1"/>
    </xf>
    <xf numFmtId="0" fontId="17" fillId="0" borderId="21" xfId="0" applyFont="1" applyBorder="1" applyAlignment="1" applyProtection="1">
      <alignment horizontal="left" vertical="center" wrapText="1"/>
      <protection hidden="1"/>
    </xf>
    <xf numFmtId="178" fontId="32" fillId="0" borderId="21"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4" xfId="0" applyFont="1" applyFill="1" applyBorder="1" applyAlignment="1" applyProtection="1">
      <alignment horizontal="center" vertical="center" wrapText="1"/>
      <protection hidden="1"/>
    </xf>
    <xf numFmtId="0" fontId="37" fillId="5" borderId="55" xfId="0" applyFont="1" applyFill="1" applyBorder="1" applyAlignment="1" applyProtection="1">
      <alignment horizontal="center" vertical="center" wrapText="1"/>
      <protection hidden="1"/>
    </xf>
    <xf numFmtId="0" fontId="12" fillId="0" borderId="58"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7" xfId="0" applyFont="1" applyFill="1" applyBorder="1" applyAlignment="1" applyProtection="1">
      <alignment horizontal="center" vertical="center" wrapText="1"/>
      <protection hidden="1"/>
    </xf>
    <xf numFmtId="0" fontId="18" fillId="2" borderId="55" xfId="3" applyFont="1" applyFill="1" applyBorder="1" applyAlignment="1" applyProtection="1">
      <alignment horizontal="center" vertical="center"/>
      <protection hidden="1"/>
    </xf>
    <xf numFmtId="1" fontId="37" fillId="12" borderId="59"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wrapText="1"/>
      <protection hidden="1"/>
    </xf>
    <xf numFmtId="1" fontId="37" fillId="12" borderId="23"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protection hidden="1"/>
    </xf>
    <xf numFmtId="1" fontId="37" fillId="5" borderId="60" xfId="0" applyNumberFormat="1" applyFont="1" applyFill="1" applyBorder="1" applyAlignment="1" applyProtection="1">
      <alignment horizontal="center" vertical="center"/>
      <protection hidden="1"/>
    </xf>
    <xf numFmtId="0" fontId="11" fillId="0" borderId="18" xfId="0" applyFont="1" applyBorder="1" applyAlignment="1" applyProtection="1">
      <alignment vertical="center" wrapText="1"/>
      <protection hidden="1"/>
    </xf>
    <xf numFmtId="49" fontId="5" fillId="0" borderId="0" xfId="0" applyNumberFormat="1" applyFont="1" applyFill="1" applyProtection="1"/>
    <xf numFmtId="0" fontId="72" fillId="7" borderId="11" xfId="0" applyFont="1" applyFill="1" applyBorder="1" applyAlignment="1">
      <alignment horizontal="right"/>
    </xf>
    <xf numFmtId="0" fontId="73" fillId="7" borderId="61" xfId="1" applyFont="1" applyFill="1" applyBorder="1" applyAlignment="1" applyProtection="1">
      <alignment horizontal="right" vertical="center"/>
    </xf>
    <xf numFmtId="3" fontId="27" fillId="13" borderId="25" xfId="0" applyNumberFormat="1" applyFont="1" applyFill="1" applyBorder="1" applyAlignment="1" applyProtection="1">
      <alignment horizontal="right" vertical="center" shrinkToFit="1"/>
      <protection hidden="1"/>
    </xf>
    <xf numFmtId="3" fontId="27" fillId="13" borderId="27" xfId="0" applyNumberFormat="1" applyFont="1" applyFill="1" applyBorder="1" applyAlignment="1" applyProtection="1">
      <alignment horizontal="right" vertical="center" shrinkToFit="1"/>
      <protection hidden="1"/>
    </xf>
    <xf numFmtId="3" fontId="27" fillId="13" borderId="29"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6" fillId="0" borderId="62" xfId="2" applyNumberFormat="1" applyFont="1" applyFill="1" applyBorder="1" applyAlignment="1" applyProtection="1">
      <alignment horizontal="center" vertical="center" wrapText="1"/>
      <protection hidden="1"/>
    </xf>
    <xf numFmtId="49" fontId="75" fillId="0" borderId="0" xfId="0" applyNumberFormat="1" applyFont="1" applyBorder="1" applyAlignment="1" applyProtection="1">
      <alignment horizontal="left" vertical="center" wrapText="1" indent="1"/>
      <protection hidden="1"/>
    </xf>
    <xf numFmtId="178" fontId="18" fillId="0" borderId="20" xfId="2" applyNumberFormat="1" applyFont="1" applyFill="1" applyBorder="1" applyAlignment="1" applyProtection="1">
      <alignment horizontal="center" vertical="center" wrapText="1"/>
      <protection hidden="1"/>
    </xf>
    <xf numFmtId="0" fontId="37" fillId="2" borderId="63" xfId="0" applyFont="1" applyFill="1" applyBorder="1" applyAlignment="1" applyProtection="1">
      <alignment horizontal="center" vertical="center"/>
      <protection hidden="1"/>
    </xf>
    <xf numFmtId="0" fontId="37" fillId="2" borderId="23" xfId="0" applyFont="1" applyFill="1" applyBorder="1" applyAlignment="1" applyProtection="1">
      <alignment horizontal="center" vertical="center" wrapText="1"/>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50" fillId="0" borderId="64" xfId="0" applyNumberFormat="1" applyFont="1" applyFill="1" applyBorder="1" applyAlignment="1" applyProtection="1">
      <alignment horizontal="right" vertical="top" shrinkToFit="1"/>
      <protection locked="0"/>
    </xf>
    <xf numFmtId="49" fontId="46" fillId="0" borderId="64" xfId="2" applyNumberFormat="1" applyFont="1" applyFill="1" applyBorder="1" applyAlignment="1" applyProtection="1">
      <alignment horizontal="left" vertical="top" wrapTex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50" fillId="0" borderId="65" xfId="0" applyNumberFormat="1" applyFont="1" applyFill="1" applyBorder="1" applyAlignment="1" applyProtection="1">
      <alignment horizontal="right" vertical="top" shrinkToFit="1"/>
      <protection locked="0"/>
    </xf>
    <xf numFmtId="182" fontId="50" fillId="0" borderId="64" xfId="0" applyNumberFormat="1" applyFont="1" applyFill="1" applyBorder="1" applyAlignment="1" applyProtection="1">
      <alignment horizontal="right" vertical="top"/>
      <protection hidden="1"/>
    </xf>
    <xf numFmtId="3" fontId="37" fillId="0" borderId="64" xfId="0" applyNumberFormat="1" applyFont="1" applyFill="1" applyBorder="1" applyAlignment="1" applyProtection="1">
      <alignment horizontal="right" vertical="top" shrinkToFit="1"/>
      <protection hidden="1"/>
    </xf>
    <xf numFmtId="182" fontId="11" fillId="0" borderId="64" xfId="0" applyNumberFormat="1" applyFont="1" applyFill="1" applyBorder="1" applyAlignment="1" applyProtection="1">
      <alignment horizontal="right" vertical="top"/>
      <protection hidden="1"/>
    </xf>
    <xf numFmtId="182" fontId="50" fillId="0" borderId="65"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shrinkToFit="1"/>
      <protection hidden="1"/>
    </xf>
    <xf numFmtId="3" fontId="37" fillId="0" borderId="65" xfId="0" applyNumberFormat="1" applyFont="1" applyFill="1" applyBorder="1" applyAlignment="1" applyProtection="1">
      <alignment horizontal="right" vertical="top" shrinkToFit="1"/>
      <protection hidden="1"/>
    </xf>
    <xf numFmtId="182" fontId="11" fillId="0" borderId="65" xfId="0" applyNumberFormat="1" applyFont="1" applyFill="1" applyBorder="1" applyAlignment="1" applyProtection="1">
      <alignment horizontal="right" vertical="top"/>
      <protection hidden="1"/>
    </xf>
    <xf numFmtId="0" fontId="16" fillId="0" borderId="66" xfId="0" applyFont="1" applyFill="1" applyBorder="1" applyAlignment="1" applyProtection="1">
      <alignment horizontal="left" vertical="center"/>
      <protection hidden="1"/>
    </xf>
    <xf numFmtId="0" fontId="5" fillId="0" borderId="66" xfId="0" applyFont="1" applyFill="1" applyBorder="1" applyAlignment="1" applyProtection="1">
      <alignmen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3" fontId="50" fillId="0" borderId="67" xfId="0" applyNumberFormat="1" applyFont="1" applyFill="1" applyBorder="1" applyAlignment="1" applyProtection="1">
      <alignment horizontal="right" vertical="center" shrinkToFit="1"/>
      <protection locked="0"/>
    </xf>
    <xf numFmtId="182" fontId="50" fillId="0" borderId="67" xfId="0" applyNumberFormat="1" applyFont="1" applyFill="1" applyBorder="1" applyAlignment="1" applyProtection="1">
      <alignment horizontal="right" vertical="center"/>
      <protection hidden="1"/>
    </xf>
    <xf numFmtId="49" fontId="17" fillId="0" borderId="67" xfId="0" applyNumberFormat="1" applyFont="1" applyFill="1" applyBorder="1" applyAlignment="1" applyProtection="1">
      <alignment horizontal="lef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8" xfId="0" applyNumberFormat="1" applyFont="1" applyFill="1" applyBorder="1" applyAlignment="1" applyProtection="1">
      <alignment horizontal="left" vertical="center" shrinkToFit="1"/>
      <protection hidden="1"/>
    </xf>
    <xf numFmtId="178" fontId="18" fillId="0" borderId="68" xfId="2" applyNumberFormat="1" applyFont="1" applyFill="1" applyBorder="1" applyAlignment="1" applyProtection="1">
      <alignment horizontal="center" vertical="center" wrapText="1"/>
      <protection hidden="1"/>
    </xf>
    <xf numFmtId="3" fontId="50" fillId="0" borderId="68" xfId="0" applyNumberFormat="1" applyFont="1" applyFill="1" applyBorder="1" applyAlignment="1" applyProtection="1">
      <alignment horizontal="right" vertical="center" shrinkToFit="1"/>
      <protection locked="0"/>
    </xf>
    <xf numFmtId="182" fontId="50" fillId="0" borderId="68" xfId="0" applyNumberFormat="1" applyFont="1" applyFill="1" applyBorder="1" applyAlignment="1" applyProtection="1">
      <alignment horizontal="right" vertical="center"/>
      <protection hidden="1"/>
    </xf>
    <xf numFmtId="49" fontId="28" fillId="0" borderId="66" xfId="2" applyNumberFormat="1" applyFont="1" applyFill="1" applyBorder="1" applyAlignment="1" applyProtection="1">
      <alignment horizontal="left" vertical="center" wrapText="1"/>
      <protection hidden="1"/>
    </xf>
    <xf numFmtId="49" fontId="17" fillId="0" borderId="66" xfId="0" applyNumberFormat="1" applyFont="1" applyFill="1" applyBorder="1" applyAlignment="1" applyProtection="1">
      <alignment horizontal="left" vertical="center" wrapText="1"/>
      <protection hidden="1"/>
    </xf>
    <xf numFmtId="178" fontId="32" fillId="0" borderId="66" xfId="2" applyNumberFormat="1" applyFont="1" applyFill="1" applyBorder="1" applyAlignment="1" applyProtection="1">
      <alignment horizontal="center" vertical="center" wrapText="1"/>
      <protection hidden="1"/>
    </xf>
    <xf numFmtId="3" fontId="37" fillId="0" borderId="66" xfId="0" applyNumberFormat="1" applyFont="1" applyFill="1" applyBorder="1" applyAlignment="1" applyProtection="1">
      <alignment horizontal="right" vertical="center" shrinkToFit="1"/>
      <protection hidden="1"/>
    </xf>
    <xf numFmtId="182" fontId="11" fillId="0" borderId="66"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wrapText="1"/>
      <protection hidden="1"/>
    </xf>
    <xf numFmtId="178" fontId="32" fillId="0" borderId="67" xfId="2" applyNumberFormat="1" applyFont="1" applyFill="1" applyBorder="1" applyAlignment="1" applyProtection="1">
      <alignment horizontal="center" vertical="center" wrapText="1"/>
      <protection hidden="1"/>
    </xf>
    <xf numFmtId="3" fontId="37" fillId="0" borderId="67" xfId="0" applyNumberFormat="1" applyFont="1" applyFill="1" applyBorder="1" applyAlignment="1" applyProtection="1">
      <alignment horizontal="right" vertical="center" shrinkToFit="1"/>
      <protection hidden="1"/>
    </xf>
    <xf numFmtId="182" fontId="11" fillId="0" borderId="67"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shrinkToFit="1"/>
      <protection hidden="1"/>
    </xf>
    <xf numFmtId="49" fontId="17" fillId="0" borderId="67" xfId="2" applyNumberFormat="1" applyFont="1" applyFill="1" applyBorder="1" applyAlignment="1" applyProtection="1">
      <alignment horizontal="left" vertical="center" shrinkToFit="1"/>
      <protection hidden="1"/>
    </xf>
    <xf numFmtId="49" fontId="17" fillId="0" borderId="67" xfId="0" applyNumberFormat="1" applyFont="1" applyBorder="1" applyAlignment="1" applyProtection="1">
      <alignment horizontal="left" vertical="center" wrapText="1"/>
      <protection hidden="1"/>
    </xf>
    <xf numFmtId="49" fontId="17" fillId="0" borderId="67" xfId="0" applyNumberFormat="1" applyFont="1" applyBorder="1" applyAlignment="1" applyProtection="1">
      <alignment horizontal="left" vertical="center" shrinkToFit="1"/>
      <protection hidden="1"/>
    </xf>
    <xf numFmtId="49" fontId="17" fillId="0" borderId="68" xfId="0" applyNumberFormat="1" applyFont="1" applyBorder="1" applyAlignment="1" applyProtection="1">
      <alignment horizontal="left" vertical="center" wrapText="1"/>
      <protection hidden="1"/>
    </xf>
    <xf numFmtId="178" fontId="32" fillId="0" borderId="68" xfId="2" applyNumberFormat="1" applyFont="1" applyFill="1" applyBorder="1" applyAlignment="1" applyProtection="1">
      <alignment horizontal="center" vertical="center" wrapText="1"/>
      <protection hidden="1"/>
    </xf>
    <xf numFmtId="0" fontId="18" fillId="2" borderId="69" xfId="0" applyFont="1" applyFill="1" applyBorder="1" applyAlignment="1" applyProtection="1">
      <alignment horizontal="center" vertical="center" wrapText="1"/>
      <protection hidden="1"/>
    </xf>
    <xf numFmtId="0" fontId="18" fillId="2" borderId="70" xfId="3" applyFont="1" applyFill="1" applyBorder="1" applyAlignment="1" applyProtection="1">
      <alignment horizontal="center" vertical="center"/>
      <protection hidden="1"/>
    </xf>
    <xf numFmtId="0" fontId="18" fillId="2" borderId="71" xfId="3"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6" fillId="2" borderId="55" xfId="0" applyFont="1" applyFill="1" applyBorder="1" applyAlignment="1" applyProtection="1">
      <alignment horizontal="center" vertical="center" wrapText="1"/>
      <protection hidden="1"/>
    </xf>
    <xf numFmtId="49" fontId="17" fillId="0" borderId="74" xfId="2" applyNumberFormat="1" applyFont="1" applyFill="1" applyBorder="1" applyAlignment="1" applyProtection="1">
      <alignment horizontal="left" vertical="top" wrapText="1"/>
      <protection hidden="1"/>
    </xf>
    <xf numFmtId="49" fontId="17" fillId="0" borderId="74" xfId="0" applyNumberFormat="1" applyFont="1" applyFill="1" applyBorder="1" applyAlignment="1" applyProtection="1">
      <alignment horizontal="left" vertical="top" wrapText="1"/>
      <protection hidden="1"/>
    </xf>
    <xf numFmtId="178" fontId="18" fillId="0" borderId="74" xfId="2" applyNumberFormat="1" applyFont="1" applyFill="1" applyBorder="1" applyAlignment="1" applyProtection="1">
      <alignment horizontal="center" vertical="top" wrapText="1"/>
      <protection hidden="1"/>
    </xf>
    <xf numFmtId="3" fontId="50" fillId="0" borderId="74" xfId="0" applyNumberFormat="1" applyFont="1" applyFill="1" applyBorder="1" applyAlignment="1" applyProtection="1">
      <alignment horizontal="right" vertical="top" shrinkToFit="1"/>
      <protection locked="0"/>
    </xf>
    <xf numFmtId="182" fontId="50" fillId="0" borderId="74" xfId="0" applyNumberFormat="1" applyFont="1" applyFill="1" applyBorder="1" applyAlignment="1" applyProtection="1">
      <alignment horizontal="right" vertical="top"/>
      <protection hidden="1"/>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50" fillId="0" borderId="75" xfId="0" applyNumberFormat="1" applyFont="1" applyFill="1" applyBorder="1" applyAlignment="1" applyProtection="1">
      <alignment horizontal="right" vertical="top" shrinkToFit="1"/>
      <protection locked="0"/>
    </xf>
    <xf numFmtId="182" fontId="50" fillId="0" borderId="75" xfId="0" applyNumberFormat="1" applyFont="1" applyFill="1" applyBorder="1" applyAlignment="1" applyProtection="1">
      <alignment horizontal="right" vertical="top"/>
      <protection hidden="1"/>
    </xf>
    <xf numFmtId="0" fontId="64" fillId="6" borderId="76" xfId="0" applyFont="1" applyFill="1" applyBorder="1" applyAlignment="1" applyProtection="1">
      <alignment horizontal="left" vertical="center"/>
      <protection hidden="1"/>
    </xf>
    <xf numFmtId="0" fontId="64" fillId="6" borderId="76" xfId="0" applyFont="1" applyFill="1" applyBorder="1" applyAlignment="1">
      <alignment horizontal="left" vertical="center"/>
    </xf>
    <xf numFmtId="0" fontId="64" fillId="6" borderId="77" xfId="0" applyFont="1" applyFill="1" applyBorder="1" applyAlignment="1">
      <alignment horizontal="left" vertical="center"/>
    </xf>
    <xf numFmtId="49" fontId="46" fillId="0" borderId="75" xfId="2" applyNumberFormat="1" applyFont="1" applyFill="1" applyBorder="1" applyAlignment="1" applyProtection="1">
      <alignment horizontal="left" vertical="top" wrapText="1"/>
      <protection hidden="1"/>
    </xf>
    <xf numFmtId="0" fontId="64" fillId="6" borderId="12" xfId="0" applyFont="1" applyFill="1" applyBorder="1" applyAlignment="1" applyProtection="1">
      <alignment horizontal="left" vertical="center"/>
      <protection hidden="1"/>
    </xf>
    <xf numFmtId="0" fontId="64" fillId="6" borderId="12" xfId="0" applyFont="1" applyFill="1" applyBorder="1" applyAlignment="1">
      <alignment horizontal="left" vertical="center"/>
    </xf>
    <xf numFmtId="0" fontId="64" fillId="6" borderId="13" xfId="0" applyFont="1" applyFill="1" applyBorder="1" applyAlignment="1">
      <alignment horizontal="left" vertical="center"/>
    </xf>
    <xf numFmtId="3" fontId="37" fillId="0" borderId="75" xfId="0" applyNumberFormat="1" applyFont="1" applyFill="1" applyBorder="1" applyAlignment="1" applyProtection="1">
      <alignment horizontal="right" vertical="top" shrinkToFit="1"/>
      <protection hidden="1"/>
    </xf>
    <xf numFmtId="182" fontId="11" fillId="0" borderId="75" xfId="0" applyNumberFormat="1" applyFont="1" applyFill="1" applyBorder="1" applyAlignment="1" applyProtection="1">
      <alignment horizontal="right" vertical="top"/>
      <protection hidden="1"/>
    </xf>
    <xf numFmtId="0" fontId="17" fillId="0" borderId="20" xfId="0" applyFont="1" applyFill="1" applyBorder="1" applyAlignment="1" applyProtection="1">
      <alignment horizontal="left" vertical="center" wrapText="1"/>
      <protection hidden="1"/>
    </xf>
    <xf numFmtId="0" fontId="17" fillId="0" borderId="35" xfId="0" applyFont="1" applyFill="1" applyBorder="1" applyAlignment="1" applyProtection="1">
      <alignment vertical="center" wrapText="1"/>
      <protection hidden="1"/>
    </xf>
    <xf numFmtId="49" fontId="19" fillId="0" borderId="22" xfId="0" applyNumberFormat="1" applyFont="1" applyFill="1" applyBorder="1" applyAlignment="1" applyProtection="1">
      <alignment horizontal="left" vertical="center" wrapText="1"/>
      <protection hidden="1"/>
    </xf>
    <xf numFmtId="178" fontId="56" fillId="0" borderId="22" xfId="2" applyNumberFormat="1" applyFont="1" applyFill="1" applyBorder="1" applyAlignment="1" applyProtection="1">
      <alignment horizontal="center" vertical="center" wrapText="1"/>
      <protection hidden="1"/>
    </xf>
    <xf numFmtId="3" fontId="77" fillId="0" borderId="31" xfId="0" applyNumberFormat="1"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0" fontId="25" fillId="0" borderId="83" xfId="0" applyFont="1" applyBorder="1" applyAlignment="1" applyProtection="1">
      <alignment horizontal="right" vertical="center"/>
      <protection hidden="1"/>
    </xf>
    <xf numFmtId="178" fontId="25" fillId="0" borderId="84" xfId="0" applyNumberFormat="1" applyFont="1" applyFill="1" applyBorder="1" applyAlignment="1" applyProtection="1">
      <alignment horizontal="center" vertical="center"/>
      <protection hidden="1"/>
    </xf>
    <xf numFmtId="0" fontId="25" fillId="0" borderId="85" xfId="0" applyFont="1" applyFill="1" applyBorder="1" applyAlignment="1" applyProtection="1">
      <alignment vertical="center"/>
      <protection hidden="1"/>
    </xf>
    <xf numFmtId="0" fontId="25" fillId="0" borderId="85" xfId="0" applyFont="1" applyBorder="1" applyAlignment="1" applyProtection="1">
      <alignment vertical="center"/>
      <protection hidden="1"/>
    </xf>
    <xf numFmtId="0" fontId="25" fillId="0" borderId="86" xfId="0" applyFont="1" applyBorder="1" applyAlignment="1" applyProtection="1">
      <alignment vertical="center"/>
      <protection hidden="1"/>
    </xf>
    <xf numFmtId="1" fontId="78" fillId="0" borderId="87"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0" fontId="80" fillId="0" borderId="88" xfId="0" applyNumberFormat="1" applyFont="1" applyFill="1" applyBorder="1" applyAlignment="1" applyProtection="1">
      <alignment vertical="center" wrapText="1"/>
      <protection hidden="1"/>
    </xf>
    <xf numFmtId="49" fontId="80" fillId="0" borderId="88" xfId="0" applyNumberFormat="1" applyFont="1" applyFill="1" applyBorder="1" applyAlignment="1" applyProtection="1">
      <alignment vertical="center" wrapText="1"/>
      <protection hidden="1"/>
    </xf>
    <xf numFmtId="0" fontId="80" fillId="0" borderId="88" xfId="0" applyFont="1" applyFill="1" applyBorder="1" applyAlignment="1" applyProtection="1">
      <alignment vertical="center" wrapText="1"/>
      <protection hidden="1"/>
    </xf>
    <xf numFmtId="0" fontId="82" fillId="0" borderId="88"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5" fillId="0" borderId="0" xfId="0" applyFont="1" applyFill="1" applyAlignment="1" applyProtection="1">
      <alignment horizontal="center" vertical="center"/>
      <protection hidden="1"/>
    </xf>
    <xf numFmtId="0" fontId="86" fillId="0" borderId="0" xfId="0" applyFont="1" applyFill="1" applyAlignment="1" applyProtection="1">
      <alignment vertical="center"/>
      <protection hidden="1"/>
    </xf>
    <xf numFmtId="0" fontId="86" fillId="0" borderId="0" xfId="0" applyNumberFormat="1" applyFont="1" applyFill="1" applyAlignment="1" applyProtection="1">
      <alignment vertical="center"/>
      <protection hidden="1"/>
    </xf>
    <xf numFmtId="0" fontId="86" fillId="0" borderId="0" xfId="0" applyFont="1" applyFill="1" applyBorder="1" applyAlignment="1" applyProtection="1">
      <alignment vertical="center"/>
      <protection hidden="1"/>
    </xf>
    <xf numFmtId="0" fontId="86" fillId="0" borderId="7" xfId="0" applyFont="1" applyFill="1" applyBorder="1" applyAlignment="1" applyProtection="1">
      <alignment vertical="center"/>
      <protection hidden="1"/>
    </xf>
    <xf numFmtId="0" fontId="86" fillId="0" borderId="7" xfId="0" applyNumberFormat="1" applyFont="1" applyFill="1" applyBorder="1" applyAlignment="1" applyProtection="1">
      <alignment vertical="center"/>
      <protection hidden="1"/>
    </xf>
    <xf numFmtId="1" fontId="87" fillId="7" borderId="89" xfId="0" applyNumberFormat="1" applyFont="1" applyFill="1" applyBorder="1" applyAlignment="1" applyProtection="1">
      <alignment horizontal="center" vertical="center" wrapText="1"/>
      <protection hidden="1"/>
    </xf>
    <xf numFmtId="0" fontId="87" fillId="7" borderId="90" xfId="0" applyNumberFormat="1" applyFont="1" applyFill="1" applyBorder="1" applyAlignment="1" applyProtection="1">
      <alignment horizontal="center" vertical="center" wrapText="1"/>
      <protection hidden="1"/>
    </xf>
    <xf numFmtId="49" fontId="87" fillId="7" borderId="91" xfId="0" applyNumberFormat="1" applyFont="1" applyFill="1" applyBorder="1" applyAlignment="1" applyProtection="1">
      <alignment horizontal="center" vertical="center" wrapText="1"/>
      <protection hidden="1"/>
    </xf>
    <xf numFmtId="49" fontId="86" fillId="0" borderId="7" xfId="0" applyNumberFormat="1" applyFont="1" applyFill="1" applyBorder="1" applyAlignment="1" applyProtection="1">
      <alignment vertical="center"/>
      <protection hidden="1"/>
    </xf>
    <xf numFmtId="0" fontId="86" fillId="0" borderId="7" xfId="0" applyFont="1" applyFill="1" applyBorder="1" applyAlignment="1" applyProtection="1">
      <alignment vertical="center" wrapText="1"/>
      <protection hidden="1"/>
    </xf>
    <xf numFmtId="0" fontId="86" fillId="0" borderId="92" xfId="0" applyFont="1" applyFill="1" applyBorder="1" applyAlignment="1" applyProtection="1">
      <alignment vertical="center"/>
      <protection hidden="1"/>
    </xf>
    <xf numFmtId="0" fontId="86" fillId="0" borderId="0" xfId="0" applyFont="1" applyFill="1" applyAlignment="1" applyProtection="1">
      <alignment vertical="center" wrapText="1"/>
      <protection hidden="1"/>
    </xf>
    <xf numFmtId="0" fontId="86" fillId="0" borderId="14" xfId="0" applyFont="1" applyFill="1" applyBorder="1" applyAlignment="1" applyProtection="1">
      <alignment vertical="center"/>
      <protection hidden="1"/>
    </xf>
    <xf numFmtId="0" fontId="86" fillId="0" borderId="92" xfId="0" applyNumberFormat="1" applyFont="1" applyFill="1" applyBorder="1" applyAlignment="1" applyProtection="1">
      <alignment vertical="center"/>
      <protection hidden="1"/>
    </xf>
    <xf numFmtId="0" fontId="86" fillId="0" borderId="93" xfId="0" applyNumberFormat="1" applyFont="1" applyFill="1" applyBorder="1" applyAlignment="1" applyProtection="1">
      <alignment vertical="center"/>
      <protection hidden="1"/>
    </xf>
    <xf numFmtId="0" fontId="86" fillId="0" borderId="93" xfId="0" applyFont="1" applyFill="1" applyBorder="1" applyAlignment="1" applyProtection="1">
      <alignment vertical="center"/>
      <protection hidden="1"/>
    </xf>
    <xf numFmtId="0" fontId="86" fillId="0" borderId="93" xfId="0" quotePrefix="1" applyNumberFormat="1" applyFont="1" applyFill="1" applyBorder="1" applyAlignment="1" applyProtection="1">
      <alignment vertical="center"/>
      <protection hidden="1"/>
    </xf>
    <xf numFmtId="0" fontId="85" fillId="0" borderId="0" xfId="0" applyFont="1" applyFill="1" applyBorder="1" applyAlignment="1" applyProtection="1">
      <alignment horizontal="center" vertical="center"/>
      <protection hidden="1"/>
    </xf>
    <xf numFmtId="3" fontId="86" fillId="0" borderId="0" xfId="0" applyNumberFormat="1" applyFont="1" applyFill="1" applyAlignment="1" applyProtection="1">
      <alignment vertical="center"/>
      <protection hidden="1"/>
    </xf>
    <xf numFmtId="2" fontId="86" fillId="0" borderId="0" xfId="0" applyNumberFormat="1" applyFont="1" applyFill="1" applyAlignment="1" applyProtection="1">
      <alignment vertical="center"/>
      <protection hidden="1"/>
    </xf>
    <xf numFmtId="1" fontId="86" fillId="0" borderId="0" xfId="0" applyNumberFormat="1" applyFont="1" applyFill="1" applyAlignment="1" applyProtection="1">
      <alignment vertical="center"/>
      <protection hidden="1"/>
    </xf>
    <xf numFmtId="3" fontId="86" fillId="0" borderId="0" xfId="0" applyNumberFormat="1" applyFont="1" applyFill="1" applyAlignment="1" applyProtection="1">
      <alignment vertical="center" wrapText="1"/>
      <protection hidden="1"/>
    </xf>
    <xf numFmtId="3" fontId="88" fillId="0" borderId="0" xfId="0" applyNumberFormat="1" applyFont="1" applyFill="1" applyAlignment="1" applyProtection="1">
      <alignment vertical="center" wrapText="1"/>
      <protection hidden="1"/>
    </xf>
    <xf numFmtId="0" fontId="89" fillId="0" borderId="0" xfId="0" applyFont="1" applyFill="1" applyBorder="1" applyAlignment="1" applyProtection="1">
      <alignment vertical="center"/>
      <protection hidden="1"/>
    </xf>
    <xf numFmtId="0" fontId="86" fillId="0" borderId="0" xfId="0" applyNumberFormat="1" applyFont="1" applyFill="1" applyBorder="1" applyAlignment="1" applyProtection="1">
      <alignment vertical="center"/>
      <protection hidden="1"/>
    </xf>
    <xf numFmtId="0" fontId="86" fillId="0" borderId="0" xfId="0" applyNumberFormat="1" applyFont="1" applyAlignment="1" applyProtection="1">
      <alignment vertical="center"/>
      <protection hidden="1"/>
    </xf>
    <xf numFmtId="0" fontId="86" fillId="0" borderId="0" xfId="0" applyFont="1" applyAlignment="1" applyProtection="1">
      <alignment vertical="center"/>
      <protection hidden="1"/>
    </xf>
    <xf numFmtId="0" fontId="87" fillId="14" borderId="1" xfId="0" applyNumberFormat="1" applyFont="1" applyFill="1" applyBorder="1" applyAlignment="1" applyProtection="1">
      <alignment horizontal="center" vertical="center" wrapText="1"/>
      <protection hidden="1"/>
    </xf>
    <xf numFmtId="1" fontId="78" fillId="0" borderId="94" xfId="0" applyNumberFormat="1" applyFont="1" applyFill="1" applyBorder="1" applyAlignment="1" applyProtection="1">
      <alignment horizontal="center" vertical="center"/>
      <protection hidden="1"/>
    </xf>
    <xf numFmtId="0" fontId="87" fillId="14" borderId="95" xfId="0" applyNumberFormat="1" applyFont="1" applyFill="1" applyBorder="1" applyAlignment="1" applyProtection="1">
      <alignment horizontal="center" vertical="center" wrapText="1"/>
      <protection hidden="1"/>
    </xf>
    <xf numFmtId="0" fontId="86" fillId="0" borderId="0" xfId="0" applyNumberFormat="1" applyFont="1" applyAlignment="1" applyProtection="1">
      <alignment horizontal="center" vertical="center" wrapText="1"/>
      <protection hidden="1"/>
    </xf>
    <xf numFmtId="49" fontId="86" fillId="0" borderId="0" xfId="0" applyNumberFormat="1" applyFont="1" applyAlignment="1" applyProtection="1">
      <alignment vertical="center"/>
      <protection hidden="1"/>
    </xf>
    <xf numFmtId="0" fontId="90" fillId="0" borderId="8" xfId="5" applyFont="1" applyBorder="1" applyAlignment="1" applyProtection="1">
      <alignment horizontal="center" vertical="center"/>
      <protection hidden="1"/>
    </xf>
    <xf numFmtId="49" fontId="80" fillId="0" borderId="88" xfId="0" applyNumberFormat="1" applyFont="1" applyFill="1" applyBorder="1" applyAlignment="1" applyProtection="1">
      <alignment horizontal="left" vertical="center" wrapText="1"/>
      <protection hidden="1"/>
    </xf>
    <xf numFmtId="0" fontId="80" fillId="0" borderId="88" xfId="0" applyNumberFormat="1" applyFont="1" applyFill="1" applyBorder="1" applyAlignment="1" applyProtection="1">
      <alignment horizontal="left" vertical="center" wrapText="1"/>
      <protection hidden="1"/>
    </xf>
    <xf numFmtId="0" fontId="1" fillId="0" borderId="88" xfId="0" applyFont="1" applyFill="1" applyBorder="1" applyAlignment="1" applyProtection="1">
      <alignment vertical="center" wrapText="1"/>
      <protection hidden="1"/>
    </xf>
    <xf numFmtId="0" fontId="89" fillId="0" borderId="88" xfId="0" applyFont="1" applyFill="1" applyBorder="1" applyAlignment="1" applyProtection="1">
      <alignment vertical="center" wrapText="1"/>
      <protection hidden="1"/>
    </xf>
    <xf numFmtId="0" fontId="89" fillId="0" borderId="96" xfId="0" applyFont="1" applyFill="1" applyBorder="1" applyAlignment="1" applyProtection="1">
      <alignment vertical="center" wrapText="1"/>
      <protection hidden="1"/>
    </xf>
    <xf numFmtId="49" fontId="17" fillId="0" borderId="64" xfId="0" applyNumberFormat="1" applyFont="1" applyFill="1" applyBorder="1" applyAlignment="1" applyProtection="1">
      <alignment horizontal="left" vertical="top" wrapText="1" shrinkToFit="1"/>
      <protection hidden="1"/>
    </xf>
    <xf numFmtId="49" fontId="17" fillId="0" borderId="64" xfId="0" applyNumberFormat="1" applyFont="1" applyFill="1" applyBorder="1" applyAlignment="1" applyProtection="1">
      <alignment horizontal="left" vertical="top" shrinkToFit="1"/>
      <protection hidden="1"/>
    </xf>
    <xf numFmtId="1" fontId="33" fillId="15" borderId="97" xfId="2" applyNumberFormat="1" applyFont="1" applyFill="1" applyBorder="1" applyAlignment="1" applyProtection="1">
      <alignment horizontal="center" vertical="center" wrapText="1"/>
      <protection hidden="1"/>
    </xf>
    <xf numFmtId="1" fontId="33" fillId="7" borderId="98" xfId="0" applyNumberFormat="1" applyFont="1" applyFill="1" applyBorder="1" applyAlignment="1" applyProtection="1">
      <alignment horizontal="center" vertical="center" wrapText="1"/>
      <protection hidden="1"/>
    </xf>
    <xf numFmtId="1" fontId="33" fillId="7" borderId="99" xfId="0" applyNumberFormat="1" applyFont="1" applyFill="1" applyBorder="1" applyAlignment="1" applyProtection="1">
      <alignment horizontal="center" vertical="center"/>
      <protection hidden="1"/>
    </xf>
    <xf numFmtId="1" fontId="33" fillId="7" borderId="99"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4" xfId="0" applyNumberFormat="1" applyFont="1" applyFill="1" applyBorder="1" applyAlignment="1" applyProtection="1">
      <alignment horizontal="left" vertical="top"/>
      <protection hidden="1"/>
    </xf>
    <xf numFmtId="0" fontId="1" fillId="0" borderId="88" xfId="0" applyNumberFormat="1" applyFont="1" applyFill="1" applyBorder="1" applyAlignment="1" applyProtection="1">
      <alignment horizontal="left" vertical="center" wrapText="1"/>
      <protection hidden="1"/>
    </xf>
    <xf numFmtId="0" fontId="92" fillId="9" borderId="8" xfId="0" applyFont="1" applyFill="1" applyBorder="1" applyAlignment="1" applyProtection="1">
      <alignment horizontal="left" vertical="center" wrapText="1"/>
      <protection hidden="1"/>
    </xf>
    <xf numFmtId="0" fontId="91" fillId="0" borderId="12" xfId="0" applyFont="1" applyFill="1" applyBorder="1" applyAlignment="1" applyProtection="1">
      <alignment horizontal="center" vertical="center" wrapText="1"/>
      <protection hidden="1"/>
    </xf>
    <xf numFmtId="0" fontId="91"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69" fillId="0" borderId="103"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18" fillId="0" borderId="3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4"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73" fillId="7" borderId="99" xfId="1" applyFont="1" applyFill="1" applyBorder="1" applyAlignment="1" applyProtection="1">
      <alignment horizontal="center" vertical="center"/>
      <protection hidden="1"/>
    </xf>
    <xf numFmtId="0" fontId="73" fillId="7" borderId="17"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49" fontId="18" fillId="0" borderId="25" xfId="0" applyNumberFormat="1" applyFont="1" applyBorder="1" applyAlignment="1" applyProtection="1">
      <alignment horizontal="left" vertical="center"/>
      <protection hidden="1"/>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7" fillId="2" borderId="23" xfId="0" applyFont="1" applyFill="1" applyBorder="1" applyAlignment="1" applyProtection="1">
      <alignment horizontal="center" vertical="center" wrapText="1"/>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61" xfId="0" applyNumberFormat="1" applyFont="1" applyFill="1" applyBorder="1" applyAlignment="1" applyProtection="1">
      <alignment vertical="center" shrinkToFit="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15" fillId="7" borderId="97" xfId="1" applyFont="1" applyFill="1" applyBorder="1" applyAlignment="1" applyProtection="1">
      <alignment horizontal="center" vertical="center"/>
      <protection hidden="1"/>
    </xf>
    <xf numFmtId="0" fontId="15" fillId="7" borderId="99" xfId="1"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18" fillId="0" borderId="29" xfId="0" applyNumberFormat="1" applyFont="1" applyBorder="1" applyAlignment="1" applyProtection="1">
      <alignment horizontal="left" vertical="center"/>
      <protection hidden="1"/>
    </xf>
    <xf numFmtId="0" fontId="18" fillId="0" borderId="29"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8" fillId="0" borderId="0" xfId="0" applyFont="1" applyAlignment="1"/>
    <xf numFmtId="0" fontId="39" fillId="7" borderId="6" xfId="1" applyFont="1" applyFill="1" applyBorder="1" applyAlignment="1" applyProtection="1">
      <alignment horizontal="left" vertical="center"/>
    </xf>
    <xf numFmtId="0" fontId="18" fillId="0" borderId="25" xfId="0" applyNumberFormat="1" applyFont="1" applyBorder="1" applyAlignment="1" applyProtection="1">
      <alignment horizontal="left" vertical="center"/>
      <protection hidden="1"/>
    </xf>
    <xf numFmtId="49" fontId="40" fillId="0" borderId="100" xfId="0" applyNumberFormat="1" applyFont="1" applyFill="1" applyBorder="1" applyAlignment="1" applyProtection="1">
      <alignment horizontal="center" vertical="center" wrapText="1"/>
      <protection hidden="1"/>
    </xf>
    <xf numFmtId="0" fontId="59" fillId="0" borderId="101" xfId="0" applyFont="1" applyBorder="1" applyAlignment="1" applyProtection="1">
      <alignment horizontal="center" vertical="center" wrapText="1"/>
      <protection hidden="1"/>
    </xf>
    <xf numFmtId="0" fontId="59" fillId="0" borderId="102"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 fontId="65" fillId="7" borderId="5" xfId="0" applyNumberFormat="1" applyFont="1" applyFill="1" applyBorder="1" applyAlignment="1" applyProtection="1">
      <alignment horizontal="center" vertical="center" shrinkToFit="1"/>
      <protection hidden="1"/>
    </xf>
    <xf numFmtId="4" fontId="65" fillId="7" borderId="61"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3" fillId="7" borderId="0" xfId="1" applyFont="1" applyFill="1" applyBorder="1" applyAlignment="1" applyProtection="1">
      <alignment horizontal="left" vertical="center" wrapText="1"/>
      <protection hidden="1"/>
    </xf>
    <xf numFmtId="0" fontId="73" fillId="0" borderId="0" xfId="1" applyFont="1" applyAlignment="1" applyProtection="1">
      <alignment horizontal="left" vertical="center" wrapText="1"/>
      <protection hidden="1"/>
    </xf>
    <xf numFmtId="0" fontId="30" fillId="11" borderId="106" xfId="0" applyFont="1" applyFill="1" applyBorder="1" applyAlignment="1" applyProtection="1">
      <alignment horizontal="center" vertical="center" wrapText="1"/>
      <protection hidden="1"/>
    </xf>
    <xf numFmtId="0" fontId="31" fillId="11" borderId="107"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right" vertical="center"/>
      <protection hidden="1"/>
    </xf>
    <xf numFmtId="0" fontId="73"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66"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66"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11" fillId="0" borderId="0" xfId="0" applyFont="1" applyAlignment="1" applyProtection="1">
      <alignment horizontal="center" vertical="top" wrapText="1"/>
      <protection hidden="1"/>
    </xf>
    <xf numFmtId="0" fontId="64" fillId="6" borderId="105" xfId="3" applyFont="1" applyFill="1" applyBorder="1" applyAlignment="1" applyProtection="1">
      <alignment horizontal="left" vertical="center" wrapText="1"/>
      <protection hidden="1"/>
    </xf>
    <xf numFmtId="0" fontId="0" fillId="6" borderId="76" xfId="0" applyFill="1" applyBorder="1" applyAlignment="1" applyProtection="1">
      <alignment horizontal="left" vertical="center" wrapText="1"/>
      <protection hidden="1"/>
    </xf>
    <xf numFmtId="0" fontId="73" fillId="7" borderId="0" xfId="1" applyFont="1" applyFill="1" applyBorder="1" applyAlignment="1" applyProtection="1">
      <alignment horizontal="right" vertical="center" wrapText="1"/>
      <protection hidden="1"/>
    </xf>
    <xf numFmtId="0" fontId="21" fillId="11" borderId="106" xfId="0" applyFont="1" applyFill="1" applyBorder="1" applyAlignment="1" applyProtection="1">
      <alignment horizontal="center" vertical="center" wrapText="1"/>
      <protection hidden="1"/>
    </xf>
    <xf numFmtId="0" fontId="30" fillId="11" borderId="107"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08" xfId="0" applyFont="1" applyBorder="1" applyAlignment="1" applyProtection="1">
      <alignment horizontal="center" vertical="center"/>
      <protection hidden="1"/>
    </xf>
    <xf numFmtId="0" fontId="26" fillId="0" borderId="0" xfId="0" applyFont="1" applyAlignment="1" applyProtection="1">
      <alignment horizontal="center" vertical="top" wrapText="1"/>
      <protection hidden="1"/>
    </xf>
    <xf numFmtId="0" fontId="15" fillId="17" borderId="66" xfId="3" applyFont="1" applyFill="1" applyBorder="1" applyAlignment="1" applyProtection="1">
      <alignment horizontal="left" vertical="center"/>
      <protection hidden="1"/>
    </xf>
    <xf numFmtId="0" fontId="0" fillId="0" borderId="66" xfId="0" applyBorder="1" applyAlignment="1" applyProtection="1">
      <alignment horizontal="left" vertical="center"/>
      <protection hidden="1"/>
    </xf>
    <xf numFmtId="0" fontId="73" fillId="7" borderId="0" xfId="1" applyFont="1" applyFill="1" applyBorder="1" applyAlignment="1" applyProtection="1">
      <alignment horizontal="left" vertical="center"/>
      <protection hidden="1"/>
    </xf>
    <xf numFmtId="0" fontId="73" fillId="0" borderId="0" xfId="1" applyFont="1" applyAlignment="1" applyProtection="1">
      <alignment horizontal="left" vertical="center"/>
      <protection hidden="1"/>
    </xf>
    <xf numFmtId="0" fontId="73"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11" borderId="106" xfId="0" applyFont="1" applyFill="1" applyBorder="1" applyAlignment="1" applyProtection="1">
      <alignment horizontal="center" vertical="center" wrapText="1"/>
      <protection hidden="1"/>
    </xf>
    <xf numFmtId="0" fontId="16" fillId="11" borderId="107" xfId="0" applyFont="1" applyFill="1" applyBorder="1" applyAlignment="1" applyProtection="1">
      <alignment horizontal="center" vertical="center" wrapText="1"/>
      <protection hidden="1"/>
    </xf>
    <xf numFmtId="0" fontId="22" fillId="11" borderId="106" xfId="0" applyFont="1" applyFill="1" applyBorder="1" applyAlignment="1" applyProtection="1">
      <alignment horizontal="center" vertical="center" wrapText="1"/>
      <protection hidden="1"/>
    </xf>
    <xf numFmtId="0" fontId="0" fillId="11" borderId="107"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3"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11" borderId="107"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3" fillId="7" borderId="109" xfId="1" applyFont="1" applyFill="1" applyBorder="1" applyAlignment="1" applyProtection="1">
      <alignment horizontal="right" vertical="center"/>
      <protection hidden="1"/>
    </xf>
    <xf numFmtId="49" fontId="83" fillId="6" borderId="87" xfId="1" applyNumberFormat="1" applyFont="1" applyFill="1" applyBorder="1" applyAlignment="1" applyProtection="1">
      <alignment horizontal="left" vertical="center"/>
      <protection hidden="1"/>
    </xf>
    <xf numFmtId="0" fontId="83" fillId="6" borderId="1" xfId="1" applyFont="1" applyFill="1" applyBorder="1" applyAlignment="1" applyProtection="1">
      <alignment vertical="center"/>
      <protection hidden="1"/>
    </xf>
    <xf numFmtId="0" fontId="83" fillId="6" borderId="88" xfId="1" applyFont="1" applyFill="1" applyBorder="1" applyAlignment="1" applyProtection="1">
      <alignment vertical="center"/>
      <protection hidden="1"/>
    </xf>
    <xf numFmtId="49" fontId="74" fillId="7" borderId="0" xfId="1" applyNumberFormat="1" applyFont="1" applyFill="1" applyBorder="1" applyAlignment="1" applyProtection="1">
      <alignment horizontal="left" vertical="center"/>
      <protection hidden="1"/>
    </xf>
    <xf numFmtId="49" fontId="83" fillId="6" borderId="110" xfId="0" applyNumberFormat="1" applyFont="1" applyFill="1" applyBorder="1" applyAlignment="1" applyProtection="1">
      <alignment horizontal="left" vertical="center" wrapText="1"/>
      <protection hidden="1"/>
    </xf>
    <xf numFmtId="0" fontId="84" fillId="6" borderId="111" xfId="0" applyFont="1" applyFill="1" applyBorder="1" applyAlignment="1" applyProtection="1">
      <alignment horizontal="left" vertical="center" wrapText="1"/>
      <protection hidden="1"/>
    </xf>
    <xf numFmtId="0" fontId="84" fillId="6" borderId="112" xfId="0" applyFont="1" applyFill="1" applyBorder="1" applyAlignment="1" applyProtection="1">
      <alignment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26" xfId="6" applyFont="1" applyBorder="1" applyAlignment="1" applyProtection="1">
      <alignment vertical="center" wrapText="1"/>
      <protection hidden="1"/>
    </xf>
    <xf numFmtId="0" fontId="5" fillId="0" borderId="127" xfId="6" applyFont="1" applyBorder="1" applyAlignment="1" applyProtection="1">
      <alignment vertical="center" wrapText="1"/>
      <protection hidden="1"/>
    </xf>
    <xf numFmtId="0" fontId="5" fillId="0" borderId="124" xfId="6" applyFont="1" applyBorder="1" applyAlignment="1" applyProtection="1">
      <alignment vertical="center" wrapText="1"/>
      <protection hidden="1"/>
    </xf>
    <xf numFmtId="0" fontId="5" fillId="0" borderId="125"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61"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61" xfId="1" applyFont="1" applyFill="1" applyBorder="1" applyAlignment="1" applyProtection="1">
      <alignment horizontal="center" vertical="center" wrapText="1"/>
      <protection hidden="1"/>
    </xf>
    <xf numFmtId="0" fontId="33" fillId="11" borderId="5" xfId="6" applyFont="1" applyFill="1" applyBorder="1" applyAlignment="1" applyProtection="1">
      <alignment horizontal="center" vertical="center" wrapText="1"/>
      <protection hidden="1"/>
    </xf>
    <xf numFmtId="0" fontId="33" fillId="11" borderId="6" xfId="6" applyFont="1" applyFill="1" applyBorder="1" applyAlignment="1" applyProtection="1">
      <alignment horizontal="center" vertical="center" wrapText="1"/>
      <protection hidden="1"/>
    </xf>
    <xf numFmtId="0" fontId="33" fillId="11" borderId="61"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61" xfId="1" applyFont="1" applyFill="1" applyBorder="1" applyAlignment="1" applyProtection="1">
      <alignment horizontal="center" vertical="center" wrapText="1"/>
      <protection hidden="1"/>
    </xf>
    <xf numFmtId="0" fontId="44" fillId="11" borderId="7" xfId="4" applyFont="1" applyFill="1" applyBorder="1" applyAlignment="1" applyProtection="1">
      <alignment horizontal="center" vertical="center" wrapText="1"/>
      <protection hidden="1"/>
    </xf>
    <xf numFmtId="0" fontId="45" fillId="11" borderId="7" xfId="0" applyFont="1" applyFill="1" applyBorder="1" applyAlignment="1" applyProtection="1">
      <alignment horizontal="center" vertical="center" wrapText="1"/>
      <protection hidden="1"/>
    </xf>
    <xf numFmtId="0" fontId="5"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0" fillId="0" borderId="113"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5"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73" fillId="7" borderId="3" xfId="1" applyFont="1" applyFill="1" applyBorder="1" applyAlignment="1" applyProtection="1">
      <alignment vertical="center"/>
      <protection hidden="1"/>
    </xf>
    <xf numFmtId="0" fontId="4" fillId="0" borderId="113" xfId="6" applyNumberFormat="1" applyFont="1" applyBorder="1" applyAlignment="1" applyProtection="1">
      <alignment vertical="center" wrapText="1"/>
      <protection hidden="1"/>
    </xf>
    <xf numFmtId="0" fontId="4" fillId="0" borderId="43" xfId="6" applyNumberFormat="1" applyFont="1" applyBorder="1" applyAlignment="1" applyProtection="1">
      <alignment vertical="center" wrapText="1"/>
      <protection hidden="1"/>
    </xf>
    <xf numFmtId="0" fontId="4" fillId="0" borderId="114" xfId="6" applyNumberFormat="1" applyFont="1" applyBorder="1" applyAlignment="1" applyProtection="1">
      <alignment vertical="center" wrapText="1"/>
      <protection hidden="1"/>
    </xf>
    <xf numFmtId="0" fontId="71" fillId="7" borderId="115" xfId="6" applyNumberFormat="1" applyFont="1" applyFill="1" applyBorder="1" applyAlignment="1" applyProtection="1">
      <alignment horizontal="center" vertical="center" wrapText="1"/>
      <protection hidden="1"/>
    </xf>
    <xf numFmtId="0" fontId="71" fillId="7" borderId="115" xfId="0" applyFont="1" applyFill="1" applyBorder="1" applyAlignment="1" applyProtection="1">
      <alignment horizontal="center" vertical="center" wrapText="1"/>
      <protection hidden="1"/>
    </xf>
    <xf numFmtId="0" fontId="71" fillId="7" borderId="44" xfId="0" applyFont="1" applyFill="1" applyBorder="1" applyAlignment="1" applyProtection="1">
      <alignment horizontal="center" vertical="center" wrapText="1"/>
      <protection hidden="1"/>
    </xf>
    <xf numFmtId="0" fontId="5"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90"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13" xfId="5" applyFont="1" applyBorder="1" applyAlignment="1" applyProtection="1">
      <alignment vertical="center" wrapText="1"/>
      <protection hidden="1"/>
    </xf>
    <xf numFmtId="0" fontId="5"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8" customWidth="1"/>
    <col min="11" max="12" width="17.5703125" style="46" customWidth="1"/>
    <col min="13" max="16384" width="9.140625" style="43"/>
  </cols>
  <sheetData>
    <row r="1" spans="1:12" x14ac:dyDescent="0.2">
      <c r="A1" s="44" t="s">
        <v>1644</v>
      </c>
      <c r="B1" s="44" t="s">
        <v>2203</v>
      </c>
      <c r="C1" s="44" t="s">
        <v>1090</v>
      </c>
      <c r="D1" s="44" t="s">
        <v>1091</v>
      </c>
      <c r="E1" s="44" t="s">
        <v>1092</v>
      </c>
      <c r="F1" s="44" t="s">
        <v>1093</v>
      </c>
      <c r="G1" s="45" t="s">
        <v>322</v>
      </c>
      <c r="H1" s="45" t="s">
        <v>3644</v>
      </c>
      <c r="I1" s="45" t="s">
        <v>3105</v>
      </c>
      <c r="J1" s="208" t="s">
        <v>2997</v>
      </c>
      <c r="K1" s="46" t="s">
        <v>2998</v>
      </c>
      <c r="L1" s="46" t="s">
        <v>2999</v>
      </c>
    </row>
    <row r="2" spans="1:12" x14ac:dyDescent="0.2">
      <c r="A2" s="57">
        <v>151</v>
      </c>
      <c r="B2" s="58">
        <f>PRRAS!C12</f>
        <v>1</v>
      </c>
      <c r="C2" s="58">
        <f>PRRAS!D12</f>
        <v>6071444</v>
      </c>
      <c r="D2" s="58">
        <f>PRRAS!E12</f>
        <v>5141176</v>
      </c>
      <c r="E2" s="58">
        <v>0</v>
      </c>
      <c r="F2" s="58">
        <v>0</v>
      </c>
      <c r="G2" s="59">
        <f t="shared" ref="G2:G65" si="0">(B2/1000)*(C2*1+D2*2)</f>
        <v>16353.796</v>
      </c>
      <c r="H2" s="59">
        <f t="shared" ref="H2:H65" si="1">ABS(C2-ROUND(C2,0))+ABS(D2-ROUND(D2,0))</f>
        <v>0</v>
      </c>
      <c r="I2" s="60">
        <v>0</v>
      </c>
      <c r="J2" s="208" t="s">
        <v>4223</v>
      </c>
      <c r="K2" s="46" t="str">
        <f>RefStr!B25</f>
        <v>DA</v>
      </c>
      <c r="L2" s="46">
        <f>IF(RefStr!B25="DA",1,0)</f>
        <v>1</v>
      </c>
    </row>
    <row r="3" spans="1:12" x14ac:dyDescent="0.2">
      <c r="A3" s="52">
        <v>151</v>
      </c>
      <c r="B3" s="53">
        <f>PRRAS!C13</f>
        <v>2</v>
      </c>
      <c r="C3" s="53">
        <f>PRRAS!D13</f>
        <v>2557226</v>
      </c>
      <c r="D3" s="53">
        <f>PRRAS!E13</f>
        <v>760847</v>
      </c>
      <c r="E3" s="53">
        <v>0</v>
      </c>
      <c r="F3" s="53">
        <v>0</v>
      </c>
      <c r="G3" s="54">
        <f t="shared" si="0"/>
        <v>8157.84</v>
      </c>
      <c r="H3" s="54">
        <f t="shared" si="1"/>
        <v>0</v>
      </c>
      <c r="I3" s="55">
        <v>0</v>
      </c>
      <c r="J3" s="208" t="s">
        <v>3010</v>
      </c>
      <c r="K3" s="46" t="str">
        <f>RefStr!B27</f>
        <v>NE</v>
      </c>
      <c r="L3" s="46">
        <f>IF(RefStr!B27="DA",1,0)</f>
        <v>0</v>
      </c>
    </row>
    <row r="4" spans="1:12" x14ac:dyDescent="0.2">
      <c r="A4" s="52">
        <v>151</v>
      </c>
      <c r="B4" s="53">
        <f>PRRAS!C14</f>
        <v>3</v>
      </c>
      <c r="C4" s="53">
        <f>PRRAS!D14</f>
        <v>2500254</v>
      </c>
      <c r="D4" s="53">
        <f>PRRAS!E14</f>
        <v>709722</v>
      </c>
      <c r="E4" s="53">
        <v>0</v>
      </c>
      <c r="F4" s="53">
        <v>0</v>
      </c>
      <c r="G4" s="54">
        <f t="shared" si="0"/>
        <v>11759.094000000001</v>
      </c>
      <c r="H4" s="54">
        <f t="shared" si="1"/>
        <v>0</v>
      </c>
      <c r="I4" s="55">
        <v>0</v>
      </c>
      <c r="J4" s="208" t="s">
        <v>4224</v>
      </c>
      <c r="K4" s="46" t="str">
        <f>RefStr!B29</f>
        <v>NE</v>
      </c>
      <c r="L4" s="46">
        <f>IF(RefStr!B29="DA",1,0)</f>
        <v>0</v>
      </c>
    </row>
    <row r="5" spans="1:12" x14ac:dyDescent="0.2">
      <c r="A5" s="52">
        <v>151</v>
      </c>
      <c r="B5" s="53">
        <f>PRRAS!C15</f>
        <v>4</v>
      </c>
      <c r="C5" s="53">
        <f>PRRAS!D15</f>
        <v>2500254</v>
      </c>
      <c r="D5" s="53">
        <f>PRRAS!E15</f>
        <v>709722</v>
      </c>
      <c r="E5" s="53">
        <v>0</v>
      </c>
      <c r="F5" s="53">
        <v>0</v>
      </c>
      <c r="G5" s="54">
        <f t="shared" si="0"/>
        <v>15678.791999999999</v>
      </c>
      <c r="H5" s="54">
        <f t="shared" si="1"/>
        <v>0</v>
      </c>
      <c r="I5" s="55">
        <v>0</v>
      </c>
      <c r="J5" s="208" t="s">
        <v>4225</v>
      </c>
      <c r="K5" s="46" t="str">
        <f>IF(RefStr!B31&lt;&gt;"",RefStr!B31, "NE")</f>
        <v>NE</v>
      </c>
      <c r="L5" s="46">
        <f>IF(RefStr!B31="DA",1,0)</f>
        <v>0</v>
      </c>
    </row>
    <row r="6" spans="1:12" x14ac:dyDescent="0.2">
      <c r="A6" s="52">
        <v>151</v>
      </c>
      <c r="B6" s="53">
        <f>PRRAS!C16</f>
        <v>5</v>
      </c>
      <c r="C6" s="53">
        <f>PRRAS!D16</f>
        <v>0</v>
      </c>
      <c r="D6" s="53">
        <f>PRRAS!E16</f>
        <v>0</v>
      </c>
      <c r="E6" s="53">
        <v>0</v>
      </c>
      <c r="F6" s="53">
        <v>0</v>
      </c>
      <c r="G6" s="54">
        <f t="shared" si="0"/>
        <v>0</v>
      </c>
      <c r="H6" s="54">
        <f t="shared" si="1"/>
        <v>0</v>
      </c>
      <c r="I6" s="55">
        <v>0</v>
      </c>
      <c r="J6" s="208" t="s">
        <v>3878</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8" t="s">
        <v>4026</v>
      </c>
      <c r="K7" s="46" t="str">
        <f>TRIM(RefStr!F6)</f>
        <v>2021-09</v>
      </c>
      <c r="L7" s="46">
        <f>IF(RefStr!F6&lt;&gt;0,100*INT(VALUE(MID(RefStr!F6,1,4)))+INT(VALUE(MID(RefStr!F6,6,2))), 0)</f>
        <v>202109</v>
      </c>
    </row>
    <row r="8" spans="1:12" x14ac:dyDescent="0.2">
      <c r="A8" s="52">
        <v>151</v>
      </c>
      <c r="B8" s="53">
        <f>PRRAS!C18</f>
        <v>7</v>
      </c>
      <c r="C8" s="53">
        <f>PRRAS!D18</f>
        <v>0</v>
      </c>
      <c r="D8" s="53">
        <f>PRRAS!E18</f>
        <v>0</v>
      </c>
      <c r="E8" s="53">
        <v>0</v>
      </c>
      <c r="F8" s="53">
        <v>0</v>
      </c>
      <c r="G8" s="54">
        <f t="shared" si="0"/>
        <v>0</v>
      </c>
      <c r="H8" s="54">
        <f t="shared" si="1"/>
        <v>0</v>
      </c>
      <c r="I8" s="55">
        <v>0</v>
      </c>
      <c r="J8" s="208" t="s">
        <v>4024</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8" t="s">
        <v>4025</v>
      </c>
      <c r="K9" s="46" t="str">
        <f>TEXT(RefStr!K12,"YYYYMMDD")</f>
        <v>20210930</v>
      </c>
      <c r="L9" s="46">
        <f>YEAR(RefStr!K12)*10000+MONTH(RefStr!K12)*100+DAY(RefStr!K12)</f>
        <v>20210930</v>
      </c>
    </row>
    <row r="10" spans="1:12" x14ac:dyDescent="0.2">
      <c r="A10" s="52">
        <v>151</v>
      </c>
      <c r="B10" s="53">
        <f>PRRAS!C20</f>
        <v>9</v>
      </c>
      <c r="C10" s="53">
        <f>PRRAS!D20</f>
        <v>0</v>
      </c>
      <c r="D10" s="53">
        <f>PRRAS!E20</f>
        <v>0</v>
      </c>
      <c r="E10" s="53">
        <v>0</v>
      </c>
      <c r="F10" s="53">
        <v>0</v>
      </c>
      <c r="G10" s="54">
        <f t="shared" si="0"/>
        <v>0</v>
      </c>
      <c r="H10" s="54">
        <f t="shared" si="1"/>
        <v>0</v>
      </c>
      <c r="I10" s="55">
        <v>0</v>
      </c>
      <c r="J10" s="208" t="s">
        <v>3000</v>
      </c>
      <c r="K10" s="46" t="str">
        <f>TEXT(RefStr!B6,"00000")</f>
        <v>27861</v>
      </c>
      <c r="L10" s="46">
        <f>INT(VALUE(RefStr!B6))</f>
        <v>27861</v>
      </c>
    </row>
    <row r="11" spans="1:12" x14ac:dyDescent="0.2">
      <c r="A11" s="52">
        <v>151</v>
      </c>
      <c r="B11" s="53">
        <f>PRRAS!C21</f>
        <v>10</v>
      </c>
      <c r="C11" s="53">
        <f>PRRAS!D21</f>
        <v>0</v>
      </c>
      <c r="D11" s="53">
        <f>PRRAS!E21</f>
        <v>0</v>
      </c>
      <c r="E11" s="53">
        <v>0</v>
      </c>
      <c r="F11" s="53">
        <v>0</v>
      </c>
      <c r="G11" s="54">
        <f t="shared" si="0"/>
        <v>0</v>
      </c>
      <c r="H11" s="54">
        <f t="shared" si="1"/>
        <v>0</v>
      </c>
      <c r="I11" s="55">
        <v>0</v>
      </c>
      <c r="J11" s="208" t="s">
        <v>3753</v>
      </c>
      <c r="K11" s="46" t="str">
        <f>TEXT(RefStr!B8,"00000000")</f>
        <v>02546566</v>
      </c>
      <c r="L11" s="46">
        <f>INT(VALUE(RefStr!B8))</f>
        <v>2546566</v>
      </c>
    </row>
    <row r="12" spans="1:12" x14ac:dyDescent="0.2">
      <c r="A12" s="52">
        <v>151</v>
      </c>
      <c r="B12" s="53">
        <f>PRRAS!C22</f>
        <v>11</v>
      </c>
      <c r="C12" s="53">
        <f>PRRAS!D22</f>
        <v>0</v>
      </c>
      <c r="D12" s="53">
        <f>PRRAS!E22</f>
        <v>0</v>
      </c>
      <c r="E12" s="53">
        <v>0</v>
      </c>
      <c r="F12" s="53">
        <v>0</v>
      </c>
      <c r="G12" s="54">
        <f t="shared" si="0"/>
        <v>0</v>
      </c>
      <c r="H12" s="54">
        <f t="shared" si="1"/>
        <v>0</v>
      </c>
      <c r="I12" s="55">
        <v>0</v>
      </c>
      <c r="J12" s="208" t="s">
        <v>4017</v>
      </c>
      <c r="K12" s="46" t="str">
        <f>TRIM(RefStr!B10)</f>
        <v>OPĆINA FERDINANDOVAC</v>
      </c>
      <c r="L12" s="46">
        <f>LEN(Skriveni!K12)</f>
        <v>20</v>
      </c>
    </row>
    <row r="13" spans="1:12" x14ac:dyDescent="0.2">
      <c r="A13" s="52">
        <v>151</v>
      </c>
      <c r="B13" s="53">
        <f>PRRAS!C23</f>
        <v>12</v>
      </c>
      <c r="C13" s="53">
        <f>PRRAS!D23</f>
        <v>0</v>
      </c>
      <c r="D13" s="53">
        <f>PRRAS!E23</f>
        <v>0</v>
      </c>
      <c r="E13" s="53">
        <v>0</v>
      </c>
      <c r="F13" s="53">
        <v>0</v>
      </c>
      <c r="G13" s="54">
        <f t="shared" si="0"/>
        <v>0</v>
      </c>
      <c r="H13" s="54">
        <f t="shared" si="1"/>
        <v>0</v>
      </c>
      <c r="I13" s="55">
        <v>0</v>
      </c>
      <c r="J13" s="208" t="s">
        <v>4018</v>
      </c>
      <c r="K13" s="46" t="str">
        <f>TEXT(RefStr!B12,"00000")</f>
        <v>48356</v>
      </c>
      <c r="L13" s="46">
        <f>INT(VALUE(RefStr!B12))</f>
        <v>48356</v>
      </c>
    </row>
    <row r="14" spans="1:12" x14ac:dyDescent="0.2">
      <c r="A14" s="52">
        <v>151</v>
      </c>
      <c r="B14" s="53">
        <f>PRRAS!C24</f>
        <v>13</v>
      </c>
      <c r="C14" s="53">
        <f>PRRAS!D24</f>
        <v>0</v>
      </c>
      <c r="D14" s="53">
        <f>PRRAS!E24</f>
        <v>0</v>
      </c>
      <c r="E14" s="53">
        <v>0</v>
      </c>
      <c r="F14" s="53">
        <v>0</v>
      </c>
      <c r="G14" s="54">
        <f t="shared" si="0"/>
        <v>0</v>
      </c>
      <c r="H14" s="54">
        <f t="shared" si="1"/>
        <v>0</v>
      </c>
      <c r="I14" s="55">
        <v>0</v>
      </c>
      <c r="J14" s="208" t="s">
        <v>4019</v>
      </c>
      <c r="K14" s="46" t="str">
        <f>TRIM(RefStr!C12)</f>
        <v>FERDINANDOVAC</v>
      </c>
      <c r="L14" s="46">
        <f>LEN(Skriveni!K14)</f>
        <v>13</v>
      </c>
    </row>
    <row r="15" spans="1:12" x14ac:dyDescent="0.2">
      <c r="A15" s="52">
        <v>151</v>
      </c>
      <c r="B15" s="53">
        <f>PRRAS!C25</f>
        <v>14</v>
      </c>
      <c r="C15" s="53">
        <f>PRRAS!D25</f>
        <v>0</v>
      </c>
      <c r="D15" s="53">
        <f>PRRAS!E25</f>
        <v>0</v>
      </c>
      <c r="E15" s="53">
        <v>0</v>
      </c>
      <c r="F15" s="53">
        <v>0</v>
      </c>
      <c r="G15" s="54">
        <f t="shared" si="0"/>
        <v>0</v>
      </c>
      <c r="H15" s="54">
        <f t="shared" si="1"/>
        <v>0</v>
      </c>
      <c r="I15" s="55">
        <v>0</v>
      </c>
      <c r="J15" s="208" t="s">
        <v>4020</v>
      </c>
      <c r="K15" s="46" t="str">
        <f>TRIM(RefStr!B14)</f>
        <v>TRG SLOBODE 28</v>
      </c>
      <c r="L15" s="46">
        <f>LEN(Skriveni!K15)</f>
        <v>14</v>
      </c>
    </row>
    <row r="16" spans="1:12" x14ac:dyDescent="0.2">
      <c r="A16" s="52">
        <v>151</v>
      </c>
      <c r="B16" s="53">
        <f>PRRAS!C26</f>
        <v>15</v>
      </c>
      <c r="C16" s="53">
        <f>PRRAS!D26</f>
        <v>0</v>
      </c>
      <c r="D16" s="53">
        <f>PRRAS!E26</f>
        <v>0</v>
      </c>
      <c r="E16" s="53">
        <v>0</v>
      </c>
      <c r="F16" s="53">
        <v>0</v>
      </c>
      <c r="G16" s="54">
        <f t="shared" si="0"/>
        <v>0</v>
      </c>
      <c r="H16" s="54">
        <f t="shared" si="1"/>
        <v>0</v>
      </c>
      <c r="I16" s="55">
        <v>0</v>
      </c>
      <c r="J16" s="208" t="s">
        <v>3936</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8" t="s">
        <v>4021</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8" t="s">
        <v>86</v>
      </c>
      <c r="K18" s="46" t="str">
        <f>TEXT(RefStr!B20,"000")</f>
        <v>000</v>
      </c>
      <c r="L18" s="46">
        <f>INT(VALUE(RefStr!B20))</f>
        <v>0</v>
      </c>
    </row>
    <row r="19" spans="1:12" x14ac:dyDescent="0.2">
      <c r="A19" s="52">
        <v>151</v>
      </c>
      <c r="B19" s="53">
        <f>PRRAS!C29</f>
        <v>18</v>
      </c>
      <c r="C19" s="53">
        <f>PRRAS!D29</f>
        <v>51695</v>
      </c>
      <c r="D19" s="53">
        <f>PRRAS!E29</f>
        <v>37853</v>
      </c>
      <c r="E19" s="53">
        <v>0</v>
      </c>
      <c r="F19" s="53">
        <v>0</v>
      </c>
      <c r="G19" s="54">
        <f t="shared" si="0"/>
        <v>2293.2179999999998</v>
      </c>
      <c r="H19" s="54">
        <f t="shared" si="1"/>
        <v>0</v>
      </c>
      <c r="I19" s="55">
        <v>0</v>
      </c>
      <c r="J19" s="208" t="s">
        <v>4022</v>
      </c>
      <c r="K19" s="46" t="str">
        <f>TEXT(RefStr!B22,"000")</f>
        <v>115</v>
      </c>
      <c r="L19" s="46">
        <f>INT(VALUE(RefStr!B22))</f>
        <v>115</v>
      </c>
    </row>
    <row r="20" spans="1:12" x14ac:dyDescent="0.2">
      <c r="A20" s="52">
        <v>151</v>
      </c>
      <c r="B20" s="53">
        <f>PRRAS!C30</f>
        <v>19</v>
      </c>
      <c r="C20" s="53">
        <f>PRRAS!D30</f>
        <v>884</v>
      </c>
      <c r="D20" s="53">
        <f>PRRAS!E30</f>
        <v>3646</v>
      </c>
      <c r="E20" s="53">
        <v>0</v>
      </c>
      <c r="F20" s="53">
        <v>0</v>
      </c>
      <c r="G20" s="54">
        <f t="shared" si="0"/>
        <v>155.34399999999999</v>
      </c>
      <c r="H20" s="54">
        <f t="shared" si="1"/>
        <v>0</v>
      </c>
      <c r="I20" s="55">
        <v>0</v>
      </c>
      <c r="J20" s="208" t="s">
        <v>4023</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8" t="s">
        <v>501</v>
      </c>
      <c r="K21" s="46" t="str">
        <f>TEXT(RefStr!K14, "00000000000")</f>
        <v>49223263989</v>
      </c>
      <c r="L21" s="46">
        <f>INT(VALUE(RefStr!K14))</f>
        <v>49223263989</v>
      </c>
    </row>
    <row r="22" spans="1:12" x14ac:dyDescent="0.2">
      <c r="A22" s="52">
        <v>151</v>
      </c>
      <c r="B22" s="53">
        <f>PRRAS!C32</f>
        <v>21</v>
      </c>
      <c r="C22" s="53">
        <f>PRRAS!D32</f>
        <v>0</v>
      </c>
      <c r="D22" s="53">
        <f>PRRAS!E32</f>
        <v>0</v>
      </c>
      <c r="E22" s="53">
        <v>0</v>
      </c>
      <c r="F22" s="53">
        <v>0</v>
      </c>
      <c r="G22" s="54">
        <f t="shared" si="0"/>
        <v>0</v>
      </c>
      <c r="H22" s="54">
        <f t="shared" si="1"/>
        <v>0</v>
      </c>
      <c r="I22" s="55">
        <v>0</v>
      </c>
      <c r="J22" s="208" t="s">
        <v>502</v>
      </c>
      <c r="K22" s="46" t="str">
        <f>TRIM(RefStr!H25)</f>
        <v>Željka Bosorić Baruškin</v>
      </c>
      <c r="L22" s="46">
        <f>LEN(RefStr!H25)</f>
        <v>23</v>
      </c>
    </row>
    <row r="23" spans="1:12" x14ac:dyDescent="0.2">
      <c r="A23" s="52">
        <v>151</v>
      </c>
      <c r="B23" s="53">
        <f>PRRAS!C33</f>
        <v>22</v>
      </c>
      <c r="C23" s="53">
        <f>PRRAS!D33</f>
        <v>50811</v>
      </c>
      <c r="D23" s="53">
        <f>PRRAS!E33</f>
        <v>34207</v>
      </c>
      <c r="E23" s="53">
        <v>0</v>
      </c>
      <c r="F23" s="53">
        <v>0</v>
      </c>
      <c r="G23" s="54">
        <f t="shared" si="0"/>
        <v>2622.95</v>
      </c>
      <c r="H23" s="54">
        <f t="shared" si="1"/>
        <v>0</v>
      </c>
      <c r="I23" s="55">
        <v>0</v>
      </c>
      <c r="J23" s="208" t="s">
        <v>503</v>
      </c>
      <c r="K23" s="46" t="str">
        <f>TRIM(RefStr!H27)</f>
        <v>048210007</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8" t="s">
        <v>504</v>
      </c>
      <c r="K24" s="46" t="str">
        <f>TRIM(RefStr!K27)</f>
        <v>048817200</v>
      </c>
      <c r="L24" s="46">
        <f>LEN(RefStr!K27)</f>
        <v>9</v>
      </c>
    </row>
    <row r="25" spans="1:12" x14ac:dyDescent="0.2">
      <c r="A25" s="52">
        <v>151</v>
      </c>
      <c r="B25" s="53">
        <f>PRRAS!C35</f>
        <v>24</v>
      </c>
      <c r="C25" s="53">
        <f>PRRAS!D35</f>
        <v>5277</v>
      </c>
      <c r="D25" s="53">
        <f>PRRAS!E35</f>
        <v>13272</v>
      </c>
      <c r="E25" s="53">
        <v>0</v>
      </c>
      <c r="F25" s="53">
        <v>0</v>
      </c>
      <c r="G25" s="54">
        <f t="shared" si="0"/>
        <v>763.70400000000006</v>
      </c>
      <c r="H25" s="54">
        <f t="shared" si="1"/>
        <v>0</v>
      </c>
      <c r="I25" s="55">
        <v>0</v>
      </c>
      <c r="J25" s="208" t="s">
        <v>505</v>
      </c>
      <c r="K25" s="46" t="str">
        <f>TRIM(RefStr!H29)</f>
        <v>opcina-ferdinandovac@kc.t-com.hr</v>
      </c>
      <c r="L25" s="46">
        <f>LEN(RefStr!H29)</f>
        <v>32</v>
      </c>
    </row>
    <row r="26" spans="1:12" x14ac:dyDescent="0.2">
      <c r="A26" s="52">
        <v>151</v>
      </c>
      <c r="B26" s="53">
        <f>PRRAS!C36</f>
        <v>25</v>
      </c>
      <c r="C26" s="53">
        <f>PRRAS!D36</f>
        <v>0</v>
      </c>
      <c r="D26" s="53">
        <f>PRRAS!E36</f>
        <v>0</v>
      </c>
      <c r="E26" s="53">
        <v>0</v>
      </c>
      <c r="F26" s="53">
        <v>0</v>
      </c>
      <c r="G26" s="54">
        <f t="shared" si="0"/>
        <v>0</v>
      </c>
      <c r="H26" s="54">
        <f t="shared" si="1"/>
        <v>0</v>
      </c>
      <c r="I26" s="55">
        <v>0</v>
      </c>
      <c r="J26" s="208" t="s">
        <v>506</v>
      </c>
      <c r="K26" s="46" t="str">
        <f>TRIM(RefStr!H31)</f>
        <v>opcina-ferdinandovac@kc.t-com.hr</v>
      </c>
      <c r="L26" s="46">
        <f>LEN(RefStr!H31)</f>
        <v>32</v>
      </c>
    </row>
    <row r="27" spans="1:12" x14ac:dyDescent="0.2">
      <c r="A27" s="52">
        <v>151</v>
      </c>
      <c r="B27" s="53">
        <f>PRRAS!C37</f>
        <v>26</v>
      </c>
      <c r="C27" s="53">
        <f>PRRAS!D37</f>
        <v>5277</v>
      </c>
      <c r="D27" s="53">
        <f>PRRAS!E37</f>
        <v>9282</v>
      </c>
      <c r="E27" s="53">
        <v>0</v>
      </c>
      <c r="F27" s="53">
        <v>0</v>
      </c>
      <c r="G27" s="54">
        <f t="shared" si="0"/>
        <v>619.86599999999999</v>
      </c>
      <c r="H27" s="54">
        <f t="shared" si="1"/>
        <v>0</v>
      </c>
      <c r="I27" s="55">
        <v>0</v>
      </c>
      <c r="J27" s="208" t="s">
        <v>509</v>
      </c>
      <c r="K27" s="46" t="str">
        <f>TRIM(RefStr!H33)</f>
        <v>Vjekoslav Maletić</v>
      </c>
      <c r="L27" s="46">
        <f>LEN(RefStr!H33)</f>
        <v>17</v>
      </c>
    </row>
    <row r="28" spans="1:12" x14ac:dyDescent="0.2">
      <c r="A28" s="52">
        <v>151</v>
      </c>
      <c r="B28" s="53">
        <f>PRRAS!C38</f>
        <v>27</v>
      </c>
      <c r="C28" s="53">
        <f>PRRAS!D38</f>
        <v>0</v>
      </c>
      <c r="D28" s="53">
        <f>PRRAS!E38</f>
        <v>0</v>
      </c>
      <c r="E28" s="53">
        <v>0</v>
      </c>
      <c r="F28" s="53">
        <v>0</v>
      </c>
      <c r="G28" s="54">
        <f t="shared" si="0"/>
        <v>0</v>
      </c>
      <c r="H28" s="54">
        <f t="shared" si="1"/>
        <v>0</v>
      </c>
      <c r="I28" s="55">
        <v>0</v>
      </c>
      <c r="J28" s="208" t="s">
        <v>510</v>
      </c>
      <c r="K28" s="46" t="str">
        <f>TEXT(SUM(G2:G1580),"#.##0,00")</f>
        <v>117.427.689,72</v>
      </c>
      <c r="L28" s="46">
        <f>SUM(G2:G1580)</f>
        <v>117427689.71500005</v>
      </c>
    </row>
    <row r="29" spans="1:12" x14ac:dyDescent="0.2">
      <c r="A29" s="52">
        <v>151</v>
      </c>
      <c r="B29" s="53">
        <f>PRRAS!C39</f>
        <v>28</v>
      </c>
      <c r="C29" s="53">
        <f>PRRAS!D39</f>
        <v>0</v>
      </c>
      <c r="D29" s="53">
        <f>PRRAS!E39</f>
        <v>3990</v>
      </c>
      <c r="E29" s="53">
        <v>0</v>
      </c>
      <c r="F29" s="53">
        <v>0</v>
      </c>
      <c r="G29" s="54">
        <f t="shared" si="0"/>
        <v>223.44</v>
      </c>
      <c r="H29" s="54">
        <f t="shared" si="1"/>
        <v>0</v>
      </c>
      <c r="I29" s="55">
        <v>0</v>
      </c>
      <c r="J29" s="208" t="s">
        <v>3644</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8" t="s">
        <v>664</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8" t="s">
        <v>3879</v>
      </c>
      <c r="K31" s="208" t="s">
        <v>3</v>
      </c>
      <c r="L31" s="46">
        <v>701</v>
      </c>
    </row>
    <row r="32" spans="1:12" x14ac:dyDescent="0.2">
      <c r="A32" s="52">
        <v>151</v>
      </c>
      <c r="B32" s="53">
        <f>PRRAS!C42</f>
        <v>31</v>
      </c>
      <c r="C32" s="53">
        <f>PRRAS!D42</f>
        <v>0</v>
      </c>
      <c r="D32" s="53">
        <f>PRRAS!E42</f>
        <v>0</v>
      </c>
      <c r="E32" s="53">
        <v>0</v>
      </c>
      <c r="F32" s="53">
        <v>0</v>
      </c>
      <c r="G32" s="54">
        <f t="shared" si="0"/>
        <v>0</v>
      </c>
      <c r="H32" s="54">
        <f t="shared" si="1"/>
        <v>0</v>
      </c>
      <c r="I32" s="55">
        <v>0</v>
      </c>
      <c r="J32" s="208" t="s">
        <v>453</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8" t="s">
        <v>1994</v>
      </c>
      <c r="K33" s="46" t="s">
        <v>85</v>
      </c>
      <c r="L33" s="46">
        <f>PRRAS!E4</f>
        <v>116760372.14700001</v>
      </c>
    </row>
    <row r="34" spans="1:12" x14ac:dyDescent="0.2">
      <c r="A34" s="52">
        <v>151</v>
      </c>
      <c r="B34" s="53">
        <f>PRRAS!C44</f>
        <v>33</v>
      </c>
      <c r="C34" s="53">
        <f>PRRAS!D44</f>
        <v>0</v>
      </c>
      <c r="D34" s="53">
        <f>PRRAS!E44</f>
        <v>0</v>
      </c>
      <c r="E34" s="53">
        <v>0</v>
      </c>
      <c r="F34" s="53">
        <v>0</v>
      </c>
      <c r="G34" s="54">
        <f t="shared" si="0"/>
        <v>0</v>
      </c>
      <c r="H34" s="54">
        <f t="shared" si="1"/>
        <v>0</v>
      </c>
      <c r="I34" s="55">
        <v>0</v>
      </c>
      <c r="J34" s="208" t="s">
        <v>1995</v>
      </c>
      <c r="K34" s="46" t="s">
        <v>85</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8" t="s">
        <v>1996</v>
      </c>
      <c r="K35" s="46" t="s">
        <v>85</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8" t="s">
        <v>1998</v>
      </c>
      <c r="K36" s="46" t="s">
        <v>85</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8" t="s">
        <v>1997</v>
      </c>
      <c r="K37" s="46" t="s">
        <v>85</v>
      </c>
      <c r="L37" s="46">
        <f>Obv!C4</f>
        <v>667317.56800000009</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2436375</v>
      </c>
      <c r="D46" s="53">
        <f>PRRAS!E56</f>
        <v>2866883</v>
      </c>
      <c r="E46" s="53">
        <v>0</v>
      </c>
      <c r="F46" s="53">
        <v>0</v>
      </c>
      <c r="G46" s="54">
        <f t="shared" si="0"/>
        <v>367656.34499999997</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404439</v>
      </c>
      <c r="D55" s="53">
        <f>PRRAS!E65</f>
        <v>2342377</v>
      </c>
      <c r="E55" s="53">
        <v>0</v>
      </c>
      <c r="F55" s="53">
        <v>0</v>
      </c>
      <c r="G55" s="54">
        <f t="shared" si="0"/>
        <v>274816.42200000002</v>
      </c>
      <c r="H55" s="54">
        <f t="shared" si="1"/>
        <v>0</v>
      </c>
      <c r="I55" s="55">
        <v>0</v>
      </c>
    </row>
    <row r="56" spans="1:9" x14ac:dyDescent="0.2">
      <c r="A56" s="52">
        <v>151</v>
      </c>
      <c r="B56" s="53">
        <f>PRRAS!C66</f>
        <v>55</v>
      </c>
      <c r="C56" s="53">
        <f>PRRAS!D66</f>
        <v>130814</v>
      </c>
      <c r="D56" s="53">
        <f>PRRAS!E66</f>
        <v>1922384</v>
      </c>
      <c r="E56" s="53">
        <v>0</v>
      </c>
      <c r="F56" s="53">
        <v>0</v>
      </c>
      <c r="G56" s="54">
        <f t="shared" si="0"/>
        <v>218657.01</v>
      </c>
      <c r="H56" s="54">
        <f t="shared" si="1"/>
        <v>0</v>
      </c>
      <c r="I56" s="55">
        <v>0</v>
      </c>
    </row>
    <row r="57" spans="1:9" x14ac:dyDescent="0.2">
      <c r="A57" s="52">
        <v>151</v>
      </c>
      <c r="B57" s="53">
        <f>PRRAS!C67</f>
        <v>56</v>
      </c>
      <c r="C57" s="53">
        <f>PRRAS!D67</f>
        <v>273625</v>
      </c>
      <c r="D57" s="53">
        <f>PRRAS!E67</f>
        <v>419993</v>
      </c>
      <c r="E57" s="53">
        <v>0</v>
      </c>
      <c r="F57" s="53">
        <v>0</v>
      </c>
      <c r="G57" s="54">
        <f t="shared" si="0"/>
        <v>62362.216</v>
      </c>
      <c r="H57" s="54">
        <f t="shared" si="1"/>
        <v>0</v>
      </c>
      <c r="I57" s="55">
        <v>0</v>
      </c>
    </row>
    <row r="58" spans="1:9" x14ac:dyDescent="0.2">
      <c r="A58" s="52">
        <v>151</v>
      </c>
      <c r="B58" s="53">
        <f>PRRAS!C68</f>
        <v>57</v>
      </c>
      <c r="C58" s="53">
        <f>PRRAS!D68</f>
        <v>28983</v>
      </c>
      <c r="D58" s="53">
        <f>PRRAS!E68</f>
        <v>29890</v>
      </c>
      <c r="E58" s="53">
        <v>0</v>
      </c>
      <c r="F58" s="53">
        <v>0</v>
      </c>
      <c r="G58" s="54">
        <f t="shared" si="0"/>
        <v>5059.491</v>
      </c>
      <c r="H58" s="54">
        <f t="shared" si="1"/>
        <v>0</v>
      </c>
      <c r="I58" s="55">
        <v>0</v>
      </c>
    </row>
    <row r="59" spans="1:9" x14ac:dyDescent="0.2">
      <c r="A59" s="52">
        <v>151</v>
      </c>
      <c r="B59" s="53">
        <f>PRRAS!C69</f>
        <v>58</v>
      </c>
      <c r="C59" s="53">
        <f>PRRAS!D69</f>
        <v>28983</v>
      </c>
      <c r="D59" s="53">
        <f>PRRAS!E69</f>
        <v>29890</v>
      </c>
      <c r="E59" s="53">
        <v>0</v>
      </c>
      <c r="F59" s="53">
        <v>0</v>
      </c>
      <c r="G59" s="54">
        <f t="shared" si="0"/>
        <v>5148.2539999999999</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2002953</v>
      </c>
      <c r="D70" s="53">
        <f>PRRAS!E80</f>
        <v>494616</v>
      </c>
      <c r="E70" s="53">
        <v>0</v>
      </c>
      <c r="F70" s="53">
        <v>0</v>
      </c>
      <c r="G70" s="54">
        <f t="shared" si="2"/>
        <v>206460.76500000001</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2002953</v>
      </c>
      <c r="D72" s="53">
        <f>PRRAS!E82</f>
        <v>494616</v>
      </c>
      <c r="E72" s="53">
        <v>0</v>
      </c>
      <c r="F72" s="53">
        <v>0</v>
      </c>
      <c r="G72" s="54">
        <f t="shared" si="2"/>
        <v>212445.13499999998</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543706</v>
      </c>
      <c r="D78" s="53">
        <f>PRRAS!E88</f>
        <v>989389</v>
      </c>
      <c r="E78" s="53">
        <v>0</v>
      </c>
      <c r="F78" s="53">
        <v>0</v>
      </c>
      <c r="G78" s="54">
        <f t="shared" si="2"/>
        <v>194231.26800000001</v>
      </c>
      <c r="H78" s="54">
        <f t="shared" si="3"/>
        <v>0</v>
      </c>
      <c r="I78" s="55">
        <v>0</v>
      </c>
    </row>
    <row r="79" spans="1:9" x14ac:dyDescent="0.2">
      <c r="A79" s="52">
        <v>151</v>
      </c>
      <c r="B79" s="53">
        <f>PRRAS!C89</f>
        <v>78</v>
      </c>
      <c r="C79" s="53">
        <f>PRRAS!D89</f>
        <v>13</v>
      </c>
      <c r="D79" s="53">
        <f>PRRAS!E89</f>
        <v>7014</v>
      </c>
      <c r="E79" s="53">
        <v>0</v>
      </c>
      <c r="F79" s="53">
        <v>0</v>
      </c>
      <c r="G79" s="54">
        <f t="shared" si="2"/>
        <v>1095.1980000000001</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13</v>
      </c>
      <c r="D81" s="53">
        <f>PRRAS!E91</f>
        <v>19</v>
      </c>
      <c r="E81" s="53">
        <v>0</v>
      </c>
      <c r="F81" s="53">
        <v>0</v>
      </c>
      <c r="G81" s="54">
        <f t="shared" si="2"/>
        <v>4.08</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6995</v>
      </c>
      <c r="E86" s="53">
        <v>0</v>
      </c>
      <c r="F86" s="53">
        <v>0</v>
      </c>
      <c r="G86" s="54">
        <f t="shared" si="2"/>
        <v>1189.1500000000001</v>
      </c>
      <c r="H86" s="54">
        <f t="shared" si="3"/>
        <v>0</v>
      </c>
      <c r="I86" s="55">
        <v>0</v>
      </c>
    </row>
    <row r="87" spans="1:9" x14ac:dyDescent="0.2">
      <c r="A87" s="52">
        <v>151</v>
      </c>
      <c r="B87" s="53">
        <f>PRRAS!C97</f>
        <v>86</v>
      </c>
      <c r="C87" s="53">
        <f>PRRAS!D97</f>
        <v>543693</v>
      </c>
      <c r="D87" s="53">
        <f>PRRAS!E97</f>
        <v>982375</v>
      </c>
      <c r="E87" s="53">
        <v>0</v>
      </c>
      <c r="F87" s="53">
        <v>0</v>
      </c>
      <c r="G87" s="54">
        <f t="shared" si="2"/>
        <v>215726.09799999997</v>
      </c>
      <c r="H87" s="54">
        <f t="shared" si="3"/>
        <v>0</v>
      </c>
      <c r="I87" s="55">
        <v>0</v>
      </c>
    </row>
    <row r="88" spans="1:9" x14ac:dyDescent="0.2">
      <c r="A88" s="52">
        <v>151</v>
      </c>
      <c r="B88" s="53">
        <f>PRRAS!C98</f>
        <v>87</v>
      </c>
      <c r="C88" s="53">
        <f>PRRAS!D98</f>
        <v>9563</v>
      </c>
      <c r="D88" s="53">
        <f>PRRAS!E98</f>
        <v>0</v>
      </c>
      <c r="E88" s="53">
        <v>0</v>
      </c>
      <c r="F88" s="53">
        <v>0</v>
      </c>
      <c r="G88" s="54">
        <f t="shared" si="2"/>
        <v>831.98099999999999</v>
      </c>
      <c r="H88" s="54">
        <f t="shared" si="3"/>
        <v>0</v>
      </c>
      <c r="I88" s="55">
        <v>0</v>
      </c>
    </row>
    <row r="89" spans="1:9" x14ac:dyDescent="0.2">
      <c r="A89" s="52">
        <v>151</v>
      </c>
      <c r="B89" s="53">
        <f>PRRAS!C99</f>
        <v>88</v>
      </c>
      <c r="C89" s="53">
        <f>PRRAS!D99</f>
        <v>54756</v>
      </c>
      <c r="D89" s="53">
        <f>PRRAS!E99</f>
        <v>54857</v>
      </c>
      <c r="E89" s="53">
        <v>0</v>
      </c>
      <c r="F89" s="53">
        <v>0</v>
      </c>
      <c r="G89" s="54">
        <f t="shared" si="2"/>
        <v>14473.359999999999</v>
      </c>
      <c r="H89" s="54">
        <f t="shared" si="3"/>
        <v>0</v>
      </c>
      <c r="I89" s="55">
        <v>0</v>
      </c>
    </row>
    <row r="90" spans="1:9" x14ac:dyDescent="0.2">
      <c r="A90" s="52">
        <v>151</v>
      </c>
      <c r="B90" s="53">
        <f>PRRAS!C100</f>
        <v>89</v>
      </c>
      <c r="C90" s="53">
        <f>PRRAS!D100</f>
        <v>471388</v>
      </c>
      <c r="D90" s="53">
        <f>PRRAS!E100</f>
        <v>926820</v>
      </c>
      <c r="E90" s="53">
        <v>0</v>
      </c>
      <c r="F90" s="53">
        <v>0</v>
      </c>
      <c r="G90" s="54">
        <f t="shared" si="2"/>
        <v>206927.492</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7986</v>
      </c>
      <c r="D93" s="53">
        <f>PRRAS!E103</f>
        <v>698</v>
      </c>
      <c r="E93" s="53">
        <v>0</v>
      </c>
      <c r="F93" s="53">
        <v>0</v>
      </c>
      <c r="G93" s="54">
        <f t="shared" si="2"/>
        <v>863.14400000000001</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533537</v>
      </c>
      <c r="D102" s="53">
        <f>PRRAS!E112</f>
        <v>498497</v>
      </c>
      <c r="E102" s="53">
        <v>0</v>
      </c>
      <c r="F102" s="53">
        <v>0</v>
      </c>
      <c r="G102" s="54">
        <f t="shared" si="2"/>
        <v>154583.63100000002</v>
      </c>
      <c r="H102" s="54">
        <f t="shared" si="3"/>
        <v>0</v>
      </c>
      <c r="I102" s="55">
        <v>0</v>
      </c>
    </row>
    <row r="103" spans="1:9" x14ac:dyDescent="0.2">
      <c r="A103" s="52">
        <v>151</v>
      </c>
      <c r="B103" s="53">
        <f>PRRAS!C113</f>
        <v>102</v>
      </c>
      <c r="C103" s="53">
        <f>PRRAS!D113</f>
        <v>84952</v>
      </c>
      <c r="D103" s="53">
        <f>PRRAS!E113</f>
        <v>60388</v>
      </c>
      <c r="E103" s="53">
        <v>0</v>
      </c>
      <c r="F103" s="53">
        <v>0</v>
      </c>
      <c r="G103" s="54">
        <f t="shared" si="2"/>
        <v>20984.255999999998</v>
      </c>
      <c r="H103" s="54">
        <f t="shared" si="3"/>
        <v>0</v>
      </c>
      <c r="I103" s="55">
        <v>0</v>
      </c>
    </row>
    <row r="104" spans="1:9" x14ac:dyDescent="0.2">
      <c r="A104" s="52">
        <v>151</v>
      </c>
      <c r="B104" s="53">
        <f>PRRAS!C114</f>
        <v>103</v>
      </c>
      <c r="C104" s="53">
        <f>PRRAS!D114</f>
        <v>0</v>
      </c>
      <c r="D104" s="53">
        <f>PRRAS!E114</f>
        <v>200</v>
      </c>
      <c r="E104" s="53">
        <v>0</v>
      </c>
      <c r="F104" s="53">
        <v>0</v>
      </c>
      <c r="G104" s="54">
        <f t="shared" si="2"/>
        <v>41.199999999999996</v>
      </c>
      <c r="H104" s="54">
        <f t="shared" si="3"/>
        <v>0</v>
      </c>
      <c r="I104" s="55">
        <v>0</v>
      </c>
    </row>
    <row r="105" spans="1:9" x14ac:dyDescent="0.2">
      <c r="A105" s="52">
        <v>151</v>
      </c>
      <c r="B105" s="53">
        <f>PRRAS!C115</f>
        <v>104</v>
      </c>
      <c r="C105" s="53">
        <f>PRRAS!D115</f>
        <v>84946</v>
      </c>
      <c r="D105" s="53">
        <f>PRRAS!E115</f>
        <v>60150</v>
      </c>
      <c r="E105" s="53">
        <v>0</v>
      </c>
      <c r="F105" s="53">
        <v>0</v>
      </c>
      <c r="G105" s="54">
        <f t="shared" si="2"/>
        <v>21345.583999999999</v>
      </c>
      <c r="H105" s="54">
        <f t="shared" si="3"/>
        <v>0</v>
      </c>
      <c r="I105" s="55">
        <v>0</v>
      </c>
    </row>
    <row r="106" spans="1:9" x14ac:dyDescent="0.2">
      <c r="A106" s="52">
        <v>151</v>
      </c>
      <c r="B106" s="53">
        <f>PRRAS!C116</f>
        <v>105</v>
      </c>
      <c r="C106" s="53">
        <f>PRRAS!D116</f>
        <v>6</v>
      </c>
      <c r="D106" s="53">
        <f>PRRAS!E116</f>
        <v>38</v>
      </c>
      <c r="E106" s="53">
        <v>0</v>
      </c>
      <c r="F106" s="53">
        <v>0</v>
      </c>
      <c r="G106" s="54">
        <f t="shared" si="2"/>
        <v>8.61</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369108</v>
      </c>
      <c r="D108" s="53">
        <f>PRRAS!E118</f>
        <v>348359</v>
      </c>
      <c r="E108" s="53">
        <v>0</v>
      </c>
      <c r="F108" s="53">
        <v>0</v>
      </c>
      <c r="G108" s="54">
        <f t="shared" si="2"/>
        <v>114043.382</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706</v>
      </c>
      <c r="D110" s="53">
        <f>PRRAS!E120</f>
        <v>931</v>
      </c>
      <c r="E110" s="53">
        <v>0</v>
      </c>
      <c r="F110" s="53">
        <v>0</v>
      </c>
      <c r="G110" s="54">
        <f t="shared" si="2"/>
        <v>279.91199999999998</v>
      </c>
      <c r="H110" s="54">
        <f t="shared" si="3"/>
        <v>0</v>
      </c>
      <c r="I110" s="55">
        <v>0</v>
      </c>
    </row>
    <row r="111" spans="1:9" x14ac:dyDescent="0.2">
      <c r="A111" s="52">
        <v>151</v>
      </c>
      <c r="B111" s="53">
        <f>PRRAS!C121</f>
        <v>110</v>
      </c>
      <c r="C111" s="53">
        <f>PRRAS!D121</f>
        <v>344402</v>
      </c>
      <c r="D111" s="53">
        <f>PRRAS!E121</f>
        <v>345996</v>
      </c>
      <c r="E111" s="53">
        <v>0</v>
      </c>
      <c r="F111" s="53">
        <v>0</v>
      </c>
      <c r="G111" s="54">
        <f t="shared" si="2"/>
        <v>114003.34</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24000</v>
      </c>
      <c r="D113" s="53">
        <f>PRRAS!E123</f>
        <v>1432</v>
      </c>
      <c r="E113" s="53">
        <v>0</v>
      </c>
      <c r="F113" s="53">
        <v>0</v>
      </c>
      <c r="G113" s="54">
        <f t="shared" si="2"/>
        <v>3008.768</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79477</v>
      </c>
      <c r="D116" s="53">
        <f>PRRAS!E126</f>
        <v>89750</v>
      </c>
      <c r="E116" s="53">
        <v>0</v>
      </c>
      <c r="F116" s="53">
        <v>0</v>
      </c>
      <c r="G116" s="54">
        <f t="shared" si="2"/>
        <v>29782.355</v>
      </c>
      <c r="H116" s="54">
        <f t="shared" si="3"/>
        <v>0</v>
      </c>
      <c r="I116" s="55">
        <v>0</v>
      </c>
    </row>
    <row r="117" spans="1:9" x14ac:dyDescent="0.2">
      <c r="A117" s="52">
        <v>151</v>
      </c>
      <c r="B117" s="53">
        <f>PRRAS!C127</f>
        <v>116</v>
      </c>
      <c r="C117" s="53">
        <f>PRRAS!D127</f>
        <v>1834</v>
      </c>
      <c r="D117" s="53">
        <f>PRRAS!E127</f>
        <v>7714</v>
      </c>
      <c r="E117" s="53">
        <v>0</v>
      </c>
      <c r="F117" s="53">
        <v>0</v>
      </c>
      <c r="G117" s="54">
        <f t="shared" si="2"/>
        <v>2002.3920000000001</v>
      </c>
      <c r="H117" s="54">
        <f t="shared" si="3"/>
        <v>0</v>
      </c>
      <c r="I117" s="55">
        <v>0</v>
      </c>
    </row>
    <row r="118" spans="1:9" x14ac:dyDescent="0.2">
      <c r="A118" s="52">
        <v>151</v>
      </c>
      <c r="B118" s="53">
        <f>PRRAS!C128</f>
        <v>117</v>
      </c>
      <c r="C118" s="53">
        <f>PRRAS!D128</f>
        <v>77643</v>
      </c>
      <c r="D118" s="53">
        <f>PRRAS!E128</f>
        <v>82036</v>
      </c>
      <c r="E118" s="53">
        <v>0</v>
      </c>
      <c r="F118" s="53">
        <v>0</v>
      </c>
      <c r="G118" s="54">
        <f t="shared" si="2"/>
        <v>28280.655000000002</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600</v>
      </c>
      <c r="D120" s="53">
        <f>PRRAS!E130</f>
        <v>25560</v>
      </c>
      <c r="E120" s="53">
        <v>0</v>
      </c>
      <c r="F120" s="53">
        <v>0</v>
      </c>
      <c r="G120" s="54">
        <f t="shared" si="2"/>
        <v>6154.6799999999994</v>
      </c>
      <c r="H120" s="54">
        <f t="shared" si="3"/>
        <v>0</v>
      </c>
      <c r="I120" s="55">
        <v>0</v>
      </c>
    </row>
    <row r="121" spans="1:9" x14ac:dyDescent="0.2">
      <c r="A121" s="52">
        <v>151</v>
      </c>
      <c r="B121" s="53">
        <f>PRRAS!C131</f>
        <v>120</v>
      </c>
      <c r="C121" s="53">
        <f>PRRAS!D131</f>
        <v>600</v>
      </c>
      <c r="D121" s="53">
        <f>PRRAS!E131</f>
        <v>560</v>
      </c>
      <c r="E121" s="53">
        <v>0</v>
      </c>
      <c r="F121" s="53">
        <v>0</v>
      </c>
      <c r="G121" s="54">
        <f t="shared" si="2"/>
        <v>206.4</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600</v>
      </c>
      <c r="D123" s="53">
        <f>PRRAS!E133</f>
        <v>560</v>
      </c>
      <c r="E123" s="53">
        <v>0</v>
      </c>
      <c r="F123" s="53">
        <v>0</v>
      </c>
      <c r="G123" s="54">
        <f t="shared" si="2"/>
        <v>209.84</v>
      </c>
      <c r="H123" s="54">
        <f t="shared" si="3"/>
        <v>0</v>
      </c>
      <c r="I123" s="55">
        <v>0</v>
      </c>
    </row>
    <row r="124" spans="1:9" x14ac:dyDescent="0.2">
      <c r="A124" s="52">
        <v>151</v>
      </c>
      <c r="B124" s="53">
        <f>PRRAS!C134</f>
        <v>123</v>
      </c>
      <c r="C124" s="53">
        <f>PRRAS!D134</f>
        <v>0</v>
      </c>
      <c r="D124" s="53">
        <f>PRRAS!E134</f>
        <v>25000</v>
      </c>
      <c r="E124" s="53">
        <v>0</v>
      </c>
      <c r="F124" s="53">
        <v>0</v>
      </c>
      <c r="G124" s="54">
        <f t="shared" si="2"/>
        <v>6150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25000</v>
      </c>
      <c r="E126" s="53">
        <v>0</v>
      </c>
      <c r="F126" s="53">
        <v>0</v>
      </c>
      <c r="G126" s="54">
        <f t="shared" ref="G126:G191" si="4">(B126/1000)*(C126*1+D126*2)</f>
        <v>6250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3545839</v>
      </c>
      <c r="D147" s="53">
        <f>PRRAS!E157</f>
        <v>3383955</v>
      </c>
      <c r="E147" s="53">
        <v>0</v>
      </c>
      <c r="F147" s="53">
        <v>0</v>
      </c>
      <c r="G147" s="54">
        <f t="shared" si="4"/>
        <v>1505807.3539999998</v>
      </c>
      <c r="H147" s="54">
        <f t="shared" si="5"/>
        <v>0</v>
      </c>
      <c r="I147" s="55">
        <v>0</v>
      </c>
    </row>
    <row r="148" spans="1:9" x14ac:dyDescent="0.2">
      <c r="A148" s="52">
        <v>151</v>
      </c>
      <c r="B148" s="53">
        <f>PRRAS!C158</f>
        <v>147</v>
      </c>
      <c r="C148" s="53">
        <f>PRRAS!D158</f>
        <v>763847</v>
      </c>
      <c r="D148" s="53">
        <f>PRRAS!E158</f>
        <v>632337</v>
      </c>
      <c r="E148" s="53">
        <v>0</v>
      </c>
      <c r="F148" s="53">
        <v>0</v>
      </c>
      <c r="G148" s="54">
        <f t="shared" si="4"/>
        <v>298192.587</v>
      </c>
      <c r="H148" s="54">
        <f t="shared" si="5"/>
        <v>0</v>
      </c>
      <c r="I148" s="55">
        <v>0</v>
      </c>
    </row>
    <row r="149" spans="1:9" x14ac:dyDescent="0.2">
      <c r="A149" s="52">
        <v>151</v>
      </c>
      <c r="B149" s="53">
        <f>PRRAS!C159</f>
        <v>148</v>
      </c>
      <c r="C149" s="53">
        <f>PRRAS!D159</f>
        <v>661005</v>
      </c>
      <c r="D149" s="53">
        <f>PRRAS!E159</f>
        <v>549560</v>
      </c>
      <c r="E149" s="53">
        <v>0</v>
      </c>
      <c r="F149" s="53">
        <v>0</v>
      </c>
      <c r="G149" s="54">
        <f t="shared" si="4"/>
        <v>260498.5</v>
      </c>
      <c r="H149" s="54">
        <f t="shared" si="5"/>
        <v>0</v>
      </c>
      <c r="I149" s="55">
        <v>0</v>
      </c>
    </row>
    <row r="150" spans="1:9" x14ac:dyDescent="0.2">
      <c r="A150" s="52">
        <v>151</v>
      </c>
      <c r="B150" s="53">
        <f>PRRAS!C160</f>
        <v>149</v>
      </c>
      <c r="C150" s="53">
        <f>PRRAS!D160</f>
        <v>661005</v>
      </c>
      <c r="D150" s="53">
        <f>PRRAS!E160</f>
        <v>549560</v>
      </c>
      <c r="E150" s="53">
        <v>0</v>
      </c>
      <c r="F150" s="53">
        <v>0</v>
      </c>
      <c r="G150" s="54">
        <f t="shared" si="4"/>
        <v>262258.625</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9000</v>
      </c>
      <c r="D154" s="53">
        <f>PRRAS!E164</f>
        <v>7500</v>
      </c>
      <c r="E154" s="53">
        <v>0</v>
      </c>
      <c r="F154" s="53">
        <v>0</v>
      </c>
      <c r="G154" s="54">
        <f t="shared" si="4"/>
        <v>3672</v>
      </c>
      <c r="H154" s="54">
        <f t="shared" si="5"/>
        <v>0</v>
      </c>
      <c r="I154" s="55">
        <v>0</v>
      </c>
    </row>
    <row r="155" spans="1:9" x14ac:dyDescent="0.2">
      <c r="A155" s="52">
        <v>151</v>
      </c>
      <c r="B155" s="53">
        <f>PRRAS!C165</f>
        <v>154</v>
      </c>
      <c r="C155" s="53">
        <f>PRRAS!D165</f>
        <v>93842</v>
      </c>
      <c r="D155" s="53">
        <f>PRRAS!E165</f>
        <v>75277</v>
      </c>
      <c r="E155" s="53">
        <v>0</v>
      </c>
      <c r="F155" s="53">
        <v>0</v>
      </c>
      <c r="G155" s="54">
        <f t="shared" si="4"/>
        <v>37636.983999999997</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93842</v>
      </c>
      <c r="D157" s="53">
        <f>PRRAS!E167</f>
        <v>75277</v>
      </c>
      <c r="E157" s="53">
        <v>0</v>
      </c>
      <c r="F157" s="53">
        <v>0</v>
      </c>
      <c r="G157" s="54">
        <f t="shared" si="4"/>
        <v>38125.775999999998</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1609408</v>
      </c>
      <c r="D159" s="53">
        <f>PRRAS!E169</f>
        <v>1503181</v>
      </c>
      <c r="E159" s="53">
        <v>0</v>
      </c>
      <c r="F159" s="53">
        <v>0</v>
      </c>
      <c r="G159" s="54">
        <f t="shared" si="4"/>
        <v>729291.66</v>
      </c>
      <c r="H159" s="54">
        <f t="shared" si="5"/>
        <v>0</v>
      </c>
      <c r="I159" s="55">
        <v>0</v>
      </c>
    </row>
    <row r="160" spans="1:9" x14ac:dyDescent="0.2">
      <c r="A160" s="52">
        <v>151</v>
      </c>
      <c r="B160" s="53">
        <f>PRRAS!C170</f>
        <v>159</v>
      </c>
      <c r="C160" s="53">
        <f>PRRAS!D170</f>
        <v>33862</v>
      </c>
      <c r="D160" s="53">
        <f>PRRAS!E170</f>
        <v>21785</v>
      </c>
      <c r="E160" s="53">
        <v>0</v>
      </c>
      <c r="F160" s="53">
        <v>0</v>
      </c>
      <c r="G160" s="54">
        <f t="shared" si="4"/>
        <v>12311.688</v>
      </c>
      <c r="H160" s="54">
        <f t="shared" si="5"/>
        <v>0</v>
      </c>
      <c r="I160" s="55">
        <v>0</v>
      </c>
    </row>
    <row r="161" spans="1:9" x14ac:dyDescent="0.2">
      <c r="A161" s="52">
        <v>151</v>
      </c>
      <c r="B161" s="53">
        <f>PRRAS!C171</f>
        <v>160</v>
      </c>
      <c r="C161" s="53">
        <f>PRRAS!D171</f>
        <v>8833</v>
      </c>
      <c r="D161" s="53">
        <f>PRRAS!E171</f>
        <v>1828</v>
      </c>
      <c r="E161" s="53">
        <v>0</v>
      </c>
      <c r="F161" s="53">
        <v>0</v>
      </c>
      <c r="G161" s="54">
        <f t="shared" si="4"/>
        <v>1998.24</v>
      </c>
      <c r="H161" s="54">
        <f t="shared" si="5"/>
        <v>0</v>
      </c>
      <c r="I161" s="55">
        <v>0</v>
      </c>
    </row>
    <row r="162" spans="1:9" x14ac:dyDescent="0.2">
      <c r="A162" s="52">
        <v>151</v>
      </c>
      <c r="B162" s="53">
        <f>PRRAS!C172</f>
        <v>161</v>
      </c>
      <c r="C162" s="53">
        <f>PRRAS!D172</f>
        <v>24429</v>
      </c>
      <c r="D162" s="53">
        <f>PRRAS!E172</f>
        <v>19457</v>
      </c>
      <c r="E162" s="53">
        <v>0</v>
      </c>
      <c r="F162" s="53">
        <v>0</v>
      </c>
      <c r="G162" s="54">
        <f t="shared" si="4"/>
        <v>10198.223</v>
      </c>
      <c r="H162" s="54">
        <f t="shared" si="5"/>
        <v>0</v>
      </c>
      <c r="I162" s="55">
        <v>0</v>
      </c>
    </row>
    <row r="163" spans="1:9" x14ac:dyDescent="0.2">
      <c r="A163" s="52">
        <v>151</v>
      </c>
      <c r="B163" s="53">
        <f>PRRAS!C173</f>
        <v>162</v>
      </c>
      <c r="C163" s="53">
        <f>PRRAS!D173</f>
        <v>600</v>
      </c>
      <c r="D163" s="53">
        <f>PRRAS!E173</f>
        <v>500</v>
      </c>
      <c r="E163" s="53">
        <v>0</v>
      </c>
      <c r="F163" s="53">
        <v>0</v>
      </c>
      <c r="G163" s="54">
        <f t="shared" si="4"/>
        <v>259.2</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210467</v>
      </c>
      <c r="D165" s="53">
        <f>PRRAS!E175</f>
        <v>212087</v>
      </c>
      <c r="E165" s="53">
        <v>0</v>
      </c>
      <c r="F165" s="53">
        <v>0</v>
      </c>
      <c r="G165" s="54">
        <f t="shared" si="4"/>
        <v>104081.12400000001</v>
      </c>
      <c r="H165" s="54">
        <f t="shared" si="5"/>
        <v>0</v>
      </c>
      <c r="I165" s="55">
        <v>0</v>
      </c>
    </row>
    <row r="166" spans="1:9" x14ac:dyDescent="0.2">
      <c r="A166" s="52">
        <v>151</v>
      </c>
      <c r="B166" s="53">
        <f>PRRAS!C176</f>
        <v>165</v>
      </c>
      <c r="C166" s="53">
        <f>PRRAS!D176</f>
        <v>21140</v>
      </c>
      <c r="D166" s="53">
        <f>PRRAS!E176</f>
        <v>13630</v>
      </c>
      <c r="E166" s="53">
        <v>0</v>
      </c>
      <c r="F166" s="53">
        <v>0</v>
      </c>
      <c r="G166" s="54">
        <f t="shared" si="4"/>
        <v>7986</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149017</v>
      </c>
      <c r="D168" s="53">
        <f>PRRAS!E178</f>
        <v>122997</v>
      </c>
      <c r="E168" s="53">
        <v>0</v>
      </c>
      <c r="F168" s="53">
        <v>0</v>
      </c>
      <c r="G168" s="54">
        <f t="shared" si="4"/>
        <v>65966.837</v>
      </c>
      <c r="H168" s="54">
        <f t="shared" si="5"/>
        <v>0</v>
      </c>
      <c r="I168" s="55">
        <v>0</v>
      </c>
    </row>
    <row r="169" spans="1:9" x14ac:dyDescent="0.2">
      <c r="A169" s="52">
        <v>151</v>
      </c>
      <c r="B169" s="53">
        <f>PRRAS!C179</f>
        <v>168</v>
      </c>
      <c r="C169" s="53">
        <f>PRRAS!D179</f>
        <v>38673</v>
      </c>
      <c r="D169" s="53">
        <f>PRRAS!E179</f>
        <v>68862</v>
      </c>
      <c r="E169" s="53">
        <v>0</v>
      </c>
      <c r="F169" s="53">
        <v>0</v>
      </c>
      <c r="G169" s="54">
        <f t="shared" si="4"/>
        <v>29634.696000000004</v>
      </c>
      <c r="H169" s="54">
        <f t="shared" si="5"/>
        <v>0</v>
      </c>
      <c r="I169" s="55">
        <v>0</v>
      </c>
    </row>
    <row r="170" spans="1:9" x14ac:dyDescent="0.2">
      <c r="A170" s="52">
        <v>151</v>
      </c>
      <c r="B170" s="53">
        <f>PRRAS!C180</f>
        <v>169</v>
      </c>
      <c r="C170" s="53">
        <f>PRRAS!D180</f>
        <v>1077</v>
      </c>
      <c r="D170" s="53">
        <f>PRRAS!E180</f>
        <v>5116</v>
      </c>
      <c r="E170" s="53">
        <v>0</v>
      </c>
      <c r="F170" s="53">
        <v>0</v>
      </c>
      <c r="G170" s="54">
        <f t="shared" si="4"/>
        <v>1911.2210000000002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560</v>
      </c>
      <c r="D172" s="53">
        <f>PRRAS!E182</f>
        <v>1482</v>
      </c>
      <c r="E172" s="53">
        <v>0</v>
      </c>
      <c r="F172" s="53">
        <v>0</v>
      </c>
      <c r="G172" s="54">
        <f t="shared" si="4"/>
        <v>602.60400000000004</v>
      </c>
      <c r="H172" s="54">
        <f t="shared" si="5"/>
        <v>0</v>
      </c>
      <c r="I172" s="55">
        <v>0</v>
      </c>
    </row>
    <row r="173" spans="1:9" x14ac:dyDescent="0.2">
      <c r="A173" s="52">
        <v>151</v>
      </c>
      <c r="B173" s="53">
        <f>PRRAS!C183</f>
        <v>172</v>
      </c>
      <c r="C173" s="53">
        <f>PRRAS!D183</f>
        <v>1148230</v>
      </c>
      <c r="D173" s="53">
        <f>PRRAS!E183</f>
        <v>1036939</v>
      </c>
      <c r="E173" s="53">
        <v>0</v>
      </c>
      <c r="F173" s="53">
        <v>0</v>
      </c>
      <c r="G173" s="54">
        <f t="shared" si="4"/>
        <v>554202.576</v>
      </c>
      <c r="H173" s="54">
        <f t="shared" si="5"/>
        <v>0</v>
      </c>
      <c r="I173" s="55">
        <v>0</v>
      </c>
    </row>
    <row r="174" spans="1:9" x14ac:dyDescent="0.2">
      <c r="A174" s="52">
        <v>151</v>
      </c>
      <c r="B174" s="53">
        <f>PRRAS!C184</f>
        <v>173</v>
      </c>
      <c r="C174" s="53">
        <f>PRRAS!D184</f>
        <v>15486</v>
      </c>
      <c r="D174" s="53">
        <f>PRRAS!E184</f>
        <v>19171</v>
      </c>
      <c r="E174" s="53">
        <v>0</v>
      </c>
      <c r="F174" s="53">
        <v>0</v>
      </c>
      <c r="G174" s="54">
        <f t="shared" si="4"/>
        <v>9312.2439999999988</v>
      </c>
      <c r="H174" s="54">
        <f t="shared" si="5"/>
        <v>0</v>
      </c>
      <c r="I174" s="55">
        <v>0</v>
      </c>
    </row>
    <row r="175" spans="1:9" x14ac:dyDescent="0.2">
      <c r="A175" s="52">
        <v>151</v>
      </c>
      <c r="B175" s="53">
        <f>PRRAS!C185</f>
        <v>174</v>
      </c>
      <c r="C175" s="53">
        <f>PRRAS!D185</f>
        <v>753880</v>
      </c>
      <c r="D175" s="53">
        <f>PRRAS!E185</f>
        <v>553279</v>
      </c>
      <c r="E175" s="53">
        <v>0</v>
      </c>
      <c r="F175" s="53">
        <v>0</v>
      </c>
      <c r="G175" s="54">
        <f t="shared" si="4"/>
        <v>323716.212</v>
      </c>
      <c r="H175" s="54">
        <f t="shared" si="5"/>
        <v>0</v>
      </c>
      <c r="I175" s="55">
        <v>0</v>
      </c>
    </row>
    <row r="176" spans="1:9" x14ac:dyDescent="0.2">
      <c r="A176" s="52">
        <v>151</v>
      </c>
      <c r="B176" s="53">
        <f>PRRAS!C186</f>
        <v>175</v>
      </c>
      <c r="C176" s="53">
        <f>PRRAS!D186</f>
        <v>36591</v>
      </c>
      <c r="D176" s="53">
        <f>PRRAS!E186</f>
        <v>58518</v>
      </c>
      <c r="E176" s="53">
        <v>0</v>
      </c>
      <c r="F176" s="53">
        <v>0</v>
      </c>
      <c r="G176" s="54">
        <f t="shared" si="4"/>
        <v>26884.724999999999</v>
      </c>
      <c r="H176" s="54">
        <f t="shared" si="5"/>
        <v>0</v>
      </c>
      <c r="I176" s="55">
        <v>0</v>
      </c>
    </row>
    <row r="177" spans="1:9" x14ac:dyDescent="0.2">
      <c r="A177" s="52">
        <v>151</v>
      </c>
      <c r="B177" s="53">
        <f>PRRAS!C187</f>
        <v>176</v>
      </c>
      <c r="C177" s="53">
        <f>PRRAS!D187</f>
        <v>50837</v>
      </c>
      <c r="D177" s="53">
        <f>PRRAS!E187</f>
        <v>59466</v>
      </c>
      <c r="E177" s="53">
        <v>0</v>
      </c>
      <c r="F177" s="53">
        <v>0</v>
      </c>
      <c r="G177" s="54">
        <f t="shared" si="4"/>
        <v>29879.343999999997</v>
      </c>
      <c r="H177" s="54">
        <f t="shared" si="5"/>
        <v>0</v>
      </c>
      <c r="I177" s="55">
        <v>0</v>
      </c>
    </row>
    <row r="178" spans="1:9" x14ac:dyDescent="0.2">
      <c r="A178" s="52">
        <v>151</v>
      </c>
      <c r="B178" s="53">
        <f>PRRAS!C188</f>
        <v>177</v>
      </c>
      <c r="C178" s="53">
        <f>PRRAS!D188</f>
        <v>6025</v>
      </c>
      <c r="D178" s="53">
        <f>PRRAS!E188</f>
        <v>2940</v>
      </c>
      <c r="E178" s="53">
        <v>0</v>
      </c>
      <c r="F178" s="53">
        <v>0</v>
      </c>
      <c r="G178" s="54">
        <f t="shared" si="4"/>
        <v>2107.1849999999999</v>
      </c>
      <c r="H178" s="54">
        <f t="shared" si="5"/>
        <v>0</v>
      </c>
      <c r="I178" s="55">
        <v>0</v>
      </c>
    </row>
    <row r="179" spans="1:9" x14ac:dyDescent="0.2">
      <c r="A179" s="52">
        <v>151</v>
      </c>
      <c r="B179" s="53">
        <f>PRRAS!C189</f>
        <v>178</v>
      </c>
      <c r="C179" s="53">
        <f>PRRAS!D189</f>
        <v>10852</v>
      </c>
      <c r="D179" s="53">
        <f>PRRAS!E189</f>
        <v>10382</v>
      </c>
      <c r="E179" s="53">
        <v>0</v>
      </c>
      <c r="F179" s="53">
        <v>0</v>
      </c>
      <c r="G179" s="54">
        <f t="shared" si="4"/>
        <v>5627.6480000000001</v>
      </c>
      <c r="H179" s="54">
        <f t="shared" si="5"/>
        <v>0</v>
      </c>
      <c r="I179" s="55">
        <v>0</v>
      </c>
    </row>
    <row r="180" spans="1:9" x14ac:dyDescent="0.2">
      <c r="A180" s="52">
        <v>151</v>
      </c>
      <c r="B180" s="53">
        <f>PRRAS!C190</f>
        <v>179</v>
      </c>
      <c r="C180" s="53">
        <f>PRRAS!D190</f>
        <v>196705</v>
      </c>
      <c r="D180" s="53">
        <f>PRRAS!E190</f>
        <v>306728</v>
      </c>
      <c r="E180" s="53">
        <v>0</v>
      </c>
      <c r="F180" s="53">
        <v>0</v>
      </c>
      <c r="G180" s="54">
        <f t="shared" si="4"/>
        <v>145018.81899999999</v>
      </c>
      <c r="H180" s="54">
        <f t="shared" si="5"/>
        <v>0</v>
      </c>
      <c r="I180" s="55">
        <v>0</v>
      </c>
    </row>
    <row r="181" spans="1:9" x14ac:dyDescent="0.2">
      <c r="A181" s="52">
        <v>151</v>
      </c>
      <c r="B181" s="53">
        <f>PRRAS!C191</f>
        <v>180</v>
      </c>
      <c r="C181" s="53">
        <f>PRRAS!D191</f>
        <v>2949</v>
      </c>
      <c r="D181" s="53">
        <f>PRRAS!E191</f>
        <v>3017</v>
      </c>
      <c r="E181" s="53">
        <v>0</v>
      </c>
      <c r="F181" s="53">
        <v>0</v>
      </c>
      <c r="G181" s="54">
        <f t="shared" si="4"/>
        <v>1616.9399999999998</v>
      </c>
      <c r="H181" s="54">
        <f t="shared" si="5"/>
        <v>0</v>
      </c>
      <c r="I181" s="55">
        <v>0</v>
      </c>
    </row>
    <row r="182" spans="1:9" x14ac:dyDescent="0.2">
      <c r="A182" s="52">
        <v>151</v>
      </c>
      <c r="B182" s="53">
        <f>PRRAS!C192</f>
        <v>181</v>
      </c>
      <c r="C182" s="53">
        <f>PRRAS!D192</f>
        <v>74905</v>
      </c>
      <c r="D182" s="53">
        <f>PRRAS!E192</f>
        <v>23438</v>
      </c>
      <c r="E182" s="53">
        <v>0</v>
      </c>
      <c r="F182" s="53">
        <v>0</v>
      </c>
      <c r="G182" s="54">
        <f t="shared" si="4"/>
        <v>22042.361000000001</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216849</v>
      </c>
      <c r="D184" s="53">
        <f>PRRAS!E194</f>
        <v>232370</v>
      </c>
      <c r="E184" s="53">
        <v>0</v>
      </c>
      <c r="F184" s="53">
        <v>0</v>
      </c>
      <c r="G184" s="54">
        <f t="shared" si="4"/>
        <v>124730.787</v>
      </c>
      <c r="H184" s="54">
        <f t="shared" si="5"/>
        <v>0</v>
      </c>
      <c r="I184" s="55">
        <v>0</v>
      </c>
    </row>
    <row r="185" spans="1:9" x14ac:dyDescent="0.2">
      <c r="A185" s="52">
        <v>151</v>
      </c>
      <c r="B185" s="53">
        <f>PRRAS!C195</f>
        <v>184</v>
      </c>
      <c r="C185" s="53">
        <f>PRRAS!D195</f>
        <v>156440</v>
      </c>
      <c r="D185" s="53">
        <f>PRRAS!E195</f>
        <v>160411</v>
      </c>
      <c r="E185" s="53">
        <v>0</v>
      </c>
      <c r="F185" s="53">
        <v>0</v>
      </c>
      <c r="G185" s="54">
        <f t="shared" si="4"/>
        <v>87816.207999999999</v>
      </c>
      <c r="H185" s="54">
        <f t="shared" si="5"/>
        <v>0</v>
      </c>
      <c r="I185" s="55">
        <v>0</v>
      </c>
    </row>
    <row r="186" spans="1:9" x14ac:dyDescent="0.2">
      <c r="A186" s="52">
        <v>151</v>
      </c>
      <c r="B186" s="53">
        <f>PRRAS!C196</f>
        <v>185</v>
      </c>
      <c r="C186" s="53">
        <f>PRRAS!D196</f>
        <v>5942</v>
      </c>
      <c r="D186" s="53">
        <f>PRRAS!E196</f>
        <v>7648</v>
      </c>
      <c r="E186" s="53">
        <v>0</v>
      </c>
      <c r="F186" s="53">
        <v>0</v>
      </c>
      <c r="G186" s="54">
        <f t="shared" si="4"/>
        <v>3929.0299999999997</v>
      </c>
      <c r="H186" s="54">
        <f t="shared" si="5"/>
        <v>0</v>
      </c>
      <c r="I186" s="55">
        <v>0</v>
      </c>
    </row>
    <row r="187" spans="1:9" x14ac:dyDescent="0.2">
      <c r="A187" s="52">
        <v>151</v>
      </c>
      <c r="B187" s="53">
        <f>PRRAS!C197</f>
        <v>186</v>
      </c>
      <c r="C187" s="53">
        <f>PRRAS!D197</f>
        <v>12082</v>
      </c>
      <c r="D187" s="53">
        <f>PRRAS!E197</f>
        <v>31100</v>
      </c>
      <c r="E187" s="53">
        <v>0</v>
      </c>
      <c r="F187" s="53">
        <v>0</v>
      </c>
      <c r="G187" s="54">
        <f t="shared" si="4"/>
        <v>13816.451999999999</v>
      </c>
      <c r="H187" s="54">
        <f t="shared" si="5"/>
        <v>0</v>
      </c>
      <c r="I187" s="55">
        <v>0</v>
      </c>
    </row>
    <row r="188" spans="1:9" x14ac:dyDescent="0.2">
      <c r="A188" s="52">
        <v>151</v>
      </c>
      <c r="B188" s="53">
        <f>PRRAS!C198</f>
        <v>187</v>
      </c>
      <c r="C188" s="53">
        <f>PRRAS!D198</f>
        <v>32498</v>
      </c>
      <c r="D188" s="53">
        <f>PRRAS!E198</f>
        <v>28747</v>
      </c>
      <c r="E188" s="53">
        <v>0</v>
      </c>
      <c r="F188" s="53">
        <v>0</v>
      </c>
      <c r="G188" s="54">
        <f t="shared" si="4"/>
        <v>16828.504000000001</v>
      </c>
      <c r="H188" s="54">
        <f t="shared" si="5"/>
        <v>0</v>
      </c>
      <c r="I188" s="55">
        <v>0</v>
      </c>
    </row>
    <row r="189" spans="1:9" x14ac:dyDescent="0.2">
      <c r="A189" s="52">
        <v>151</v>
      </c>
      <c r="B189" s="53">
        <f>PRRAS!C199</f>
        <v>188</v>
      </c>
      <c r="C189" s="53">
        <f>PRRAS!D199</f>
        <v>9607</v>
      </c>
      <c r="D189" s="53">
        <f>PRRAS!E199</f>
        <v>4464</v>
      </c>
      <c r="E189" s="53">
        <v>0</v>
      </c>
      <c r="F189" s="53">
        <v>0</v>
      </c>
      <c r="G189" s="54">
        <f t="shared" si="4"/>
        <v>3484.58</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280</v>
      </c>
      <c r="D191" s="53">
        <f>PRRAS!E201</f>
        <v>0</v>
      </c>
      <c r="E191" s="53">
        <v>0</v>
      </c>
      <c r="F191" s="53">
        <v>0</v>
      </c>
      <c r="G191" s="54">
        <f t="shared" si="4"/>
        <v>53.2</v>
      </c>
      <c r="H191" s="54">
        <f t="shared" si="5"/>
        <v>0</v>
      </c>
      <c r="I191" s="55">
        <v>0</v>
      </c>
    </row>
    <row r="192" spans="1:9" x14ac:dyDescent="0.2">
      <c r="A192" s="52">
        <v>151</v>
      </c>
      <c r="B192" s="53">
        <f>PRRAS!C202</f>
        <v>191</v>
      </c>
      <c r="C192" s="53">
        <f>PRRAS!D202</f>
        <v>12552</v>
      </c>
      <c r="D192" s="53">
        <f>PRRAS!E202</f>
        <v>17680</v>
      </c>
      <c r="E192" s="53">
        <v>0</v>
      </c>
      <c r="F192" s="53">
        <v>0</v>
      </c>
      <c r="G192" s="54">
        <f t="shared" ref="G192:G258" si="6">(B192/1000)*(C192*1+D192*2)</f>
        <v>9151.1920000000009</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12552</v>
      </c>
      <c r="D206" s="53">
        <f>PRRAS!E216</f>
        <v>17680</v>
      </c>
      <c r="E206" s="53">
        <v>0</v>
      </c>
      <c r="F206" s="53">
        <v>0</v>
      </c>
      <c r="G206" s="54">
        <f t="shared" si="6"/>
        <v>9821.9599999999991</v>
      </c>
      <c r="H206" s="54">
        <f t="shared" si="7"/>
        <v>0</v>
      </c>
      <c r="I206" s="55">
        <v>0</v>
      </c>
    </row>
    <row r="207" spans="1:9" x14ac:dyDescent="0.2">
      <c r="A207" s="52">
        <v>151</v>
      </c>
      <c r="B207" s="53">
        <f>PRRAS!C217</f>
        <v>206</v>
      </c>
      <c r="C207" s="53">
        <f>PRRAS!D217</f>
        <v>12272</v>
      </c>
      <c r="D207" s="53">
        <f>PRRAS!E217</f>
        <v>17661</v>
      </c>
      <c r="E207" s="53">
        <v>0</v>
      </c>
      <c r="F207" s="53">
        <v>0</v>
      </c>
      <c r="G207" s="54">
        <f t="shared" si="6"/>
        <v>9804.3639999999996</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19</v>
      </c>
      <c r="E209" s="53">
        <v>0</v>
      </c>
      <c r="F209" s="53">
        <v>0</v>
      </c>
      <c r="G209" s="54">
        <f t="shared" si="6"/>
        <v>7.9039999999999999</v>
      </c>
      <c r="H209" s="54">
        <f t="shared" si="7"/>
        <v>0</v>
      </c>
      <c r="I209" s="55">
        <v>0</v>
      </c>
    </row>
    <row r="210" spans="1:9" x14ac:dyDescent="0.2">
      <c r="A210" s="52">
        <v>151</v>
      </c>
      <c r="B210" s="53">
        <f>PRRAS!C220</f>
        <v>209</v>
      </c>
      <c r="C210" s="53">
        <f>PRRAS!D220</f>
        <v>280</v>
      </c>
      <c r="D210" s="53">
        <f>PRRAS!E220</f>
        <v>0</v>
      </c>
      <c r="E210" s="53">
        <v>0</v>
      </c>
      <c r="F210" s="53">
        <v>0</v>
      </c>
      <c r="G210" s="54">
        <f t="shared" si="6"/>
        <v>58.519999999999996</v>
      </c>
      <c r="H210" s="54">
        <f t="shared" si="7"/>
        <v>0</v>
      </c>
      <c r="I210" s="55">
        <v>0</v>
      </c>
    </row>
    <row r="211" spans="1:9" x14ac:dyDescent="0.2">
      <c r="A211" s="52">
        <v>151</v>
      </c>
      <c r="B211" s="53">
        <f>PRRAS!C221</f>
        <v>210</v>
      </c>
      <c r="C211" s="53">
        <f>PRRAS!D221</f>
        <v>0</v>
      </c>
      <c r="D211" s="53">
        <f>PRRAS!E221</f>
        <v>5695</v>
      </c>
      <c r="E211" s="53">
        <v>0</v>
      </c>
      <c r="F211" s="53">
        <v>0</v>
      </c>
      <c r="G211" s="54">
        <f t="shared" si="6"/>
        <v>2391.9</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5695</v>
      </c>
      <c r="E215" s="53">
        <v>0</v>
      </c>
      <c r="F215" s="53">
        <v>0</v>
      </c>
      <c r="G215" s="54">
        <f t="shared" si="6"/>
        <v>2437.46</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5695</v>
      </c>
      <c r="E218" s="53">
        <v>0</v>
      </c>
      <c r="F218" s="53">
        <v>0</v>
      </c>
      <c r="G218" s="54">
        <f t="shared" si="6"/>
        <v>2471.63</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640246</v>
      </c>
      <c r="D220" s="53">
        <f>PRRAS!E230</f>
        <v>758533</v>
      </c>
      <c r="E220" s="53">
        <v>0</v>
      </c>
      <c r="F220" s="53">
        <v>0</v>
      </c>
      <c r="G220" s="54">
        <f t="shared" si="6"/>
        <v>472451.32799999998</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35679</v>
      </c>
      <c r="D227" s="53">
        <f>PRRAS!E237</f>
        <v>59113</v>
      </c>
      <c r="E227" s="53">
        <v>0</v>
      </c>
      <c r="F227" s="53">
        <v>0</v>
      </c>
      <c r="G227" s="54">
        <f t="shared" si="6"/>
        <v>34782.53</v>
      </c>
      <c r="H227" s="54">
        <f t="shared" si="7"/>
        <v>0</v>
      </c>
      <c r="I227" s="55">
        <v>0</v>
      </c>
    </row>
    <row r="228" spans="1:9" x14ac:dyDescent="0.2">
      <c r="A228" s="52">
        <v>151</v>
      </c>
      <c r="B228" s="53">
        <f>PRRAS!C238</f>
        <v>227</v>
      </c>
      <c r="C228" s="53">
        <f>PRRAS!D238</f>
        <v>35679</v>
      </c>
      <c r="D228" s="53">
        <f>PRRAS!E238</f>
        <v>38280</v>
      </c>
      <c r="E228" s="53">
        <v>0</v>
      </c>
      <c r="F228" s="53">
        <v>0</v>
      </c>
      <c r="G228" s="54">
        <f t="shared" si="6"/>
        <v>25478.253000000001</v>
      </c>
      <c r="H228" s="54">
        <f t="shared" si="7"/>
        <v>0</v>
      </c>
      <c r="I228" s="55">
        <v>0</v>
      </c>
    </row>
    <row r="229" spans="1:9" x14ac:dyDescent="0.2">
      <c r="A229" s="52">
        <v>151</v>
      </c>
      <c r="B229" s="53">
        <f>PRRAS!C239</f>
        <v>228</v>
      </c>
      <c r="C229" s="53">
        <f>PRRAS!D239</f>
        <v>0</v>
      </c>
      <c r="D229" s="53">
        <f>PRRAS!E239</f>
        <v>20833</v>
      </c>
      <c r="E229" s="53">
        <v>0</v>
      </c>
      <c r="F229" s="53">
        <v>0</v>
      </c>
      <c r="G229" s="54">
        <f t="shared" si="6"/>
        <v>9499.848</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11883</v>
      </c>
      <c r="D232" s="53">
        <f>PRRAS!E242</f>
        <v>0</v>
      </c>
      <c r="E232" s="53">
        <v>0</v>
      </c>
      <c r="F232" s="53">
        <v>0</v>
      </c>
      <c r="G232" s="54">
        <f t="shared" si="6"/>
        <v>2744.973</v>
      </c>
      <c r="H232" s="54">
        <f t="shared" si="7"/>
        <v>0</v>
      </c>
      <c r="I232" s="55">
        <v>0</v>
      </c>
    </row>
    <row r="233" spans="1:9" x14ac:dyDescent="0.2">
      <c r="A233" s="52">
        <v>151</v>
      </c>
      <c r="B233" s="53">
        <f>PRRAS!C243</f>
        <v>232</v>
      </c>
      <c r="C233" s="53">
        <f>PRRAS!D243</f>
        <v>11883</v>
      </c>
      <c r="D233" s="53">
        <f>PRRAS!E243</f>
        <v>0</v>
      </c>
      <c r="E233" s="53">
        <v>0</v>
      </c>
      <c r="F233" s="53">
        <v>0</v>
      </c>
      <c r="G233" s="54">
        <f t="shared" si="6"/>
        <v>2756.8560000000002</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592684</v>
      </c>
      <c r="D236" s="53">
        <f>PRRAS!E246</f>
        <v>699420</v>
      </c>
      <c r="E236" s="53">
        <v>0</v>
      </c>
      <c r="F236" s="53">
        <v>0</v>
      </c>
      <c r="G236" s="54">
        <f t="shared" si="6"/>
        <v>468008.13999999996</v>
      </c>
      <c r="H236" s="54">
        <f t="shared" si="7"/>
        <v>0</v>
      </c>
      <c r="I236" s="55">
        <v>0</v>
      </c>
    </row>
    <row r="237" spans="1:9" x14ac:dyDescent="0.2">
      <c r="A237" s="52">
        <v>151</v>
      </c>
      <c r="B237" s="53">
        <f>PRRAS!C247</f>
        <v>236</v>
      </c>
      <c r="C237" s="53">
        <f>PRRAS!D247</f>
        <v>592684</v>
      </c>
      <c r="D237" s="53">
        <f>PRRAS!E247</f>
        <v>699420</v>
      </c>
      <c r="E237" s="53">
        <v>0</v>
      </c>
      <c r="F237" s="53">
        <v>0</v>
      </c>
      <c r="G237" s="54">
        <f t="shared" si="6"/>
        <v>469999.66399999999</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284569</v>
      </c>
      <c r="D248" s="53">
        <f>PRRAS!E258</f>
        <v>216092</v>
      </c>
      <c r="E248" s="53">
        <v>0</v>
      </c>
      <c r="F248" s="53">
        <v>0</v>
      </c>
      <c r="G248" s="54">
        <f t="shared" si="6"/>
        <v>177037.99100000001</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284569</v>
      </c>
      <c r="D255" s="53">
        <f>PRRAS!E265</f>
        <v>216092</v>
      </c>
      <c r="E255" s="53">
        <v>0</v>
      </c>
      <c r="F255" s="53">
        <v>0</v>
      </c>
      <c r="G255" s="54">
        <f t="shared" si="6"/>
        <v>182055.26200000002</v>
      </c>
      <c r="H255" s="54">
        <f t="shared" si="7"/>
        <v>0</v>
      </c>
      <c r="I255" s="55">
        <v>0</v>
      </c>
    </row>
    <row r="256" spans="1:9" x14ac:dyDescent="0.2">
      <c r="A256" s="52">
        <v>151</v>
      </c>
      <c r="B256" s="53">
        <f>PRRAS!C266</f>
        <v>255</v>
      </c>
      <c r="C256" s="53">
        <f>PRRAS!D266</f>
        <v>210550</v>
      </c>
      <c r="D256" s="53">
        <f>PRRAS!E266</f>
        <v>173000</v>
      </c>
      <c r="E256" s="53">
        <v>0</v>
      </c>
      <c r="F256" s="53">
        <v>0</v>
      </c>
      <c r="G256" s="54">
        <f t="shared" si="6"/>
        <v>141920.25</v>
      </c>
      <c r="H256" s="54">
        <f t="shared" si="7"/>
        <v>0</v>
      </c>
      <c r="I256" s="55">
        <v>0</v>
      </c>
    </row>
    <row r="257" spans="1:9" x14ac:dyDescent="0.2">
      <c r="A257" s="52">
        <v>151</v>
      </c>
      <c r="B257" s="53">
        <f>PRRAS!C267</f>
        <v>256</v>
      </c>
      <c r="C257" s="53">
        <f>PRRAS!D267</f>
        <v>74019</v>
      </c>
      <c r="D257" s="53">
        <f>PRRAS!E267</f>
        <v>43092</v>
      </c>
      <c r="E257" s="53">
        <v>0</v>
      </c>
      <c r="F257" s="53">
        <v>0</v>
      </c>
      <c r="G257" s="54">
        <f t="shared" si="6"/>
        <v>41011.968000000001</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235217</v>
      </c>
      <c r="D259" s="53">
        <f>PRRAS!E269</f>
        <v>250437</v>
      </c>
      <c r="E259" s="53">
        <v>0</v>
      </c>
      <c r="F259" s="53">
        <v>0</v>
      </c>
      <c r="G259" s="54">
        <f t="shared" ref="G259:G324" si="8">(B259/1000)*(C259*1+D259*2)</f>
        <v>189911.478</v>
      </c>
      <c r="H259" s="54">
        <f t="shared" ref="H259:H324" si="9">ABS(C259-ROUND(C259,0))+ABS(D259-ROUND(D259,0))</f>
        <v>0</v>
      </c>
      <c r="I259" s="55">
        <v>0</v>
      </c>
    </row>
    <row r="260" spans="1:9" x14ac:dyDescent="0.2">
      <c r="A260" s="52">
        <v>151</v>
      </c>
      <c r="B260" s="53">
        <f>PRRAS!C270</f>
        <v>259</v>
      </c>
      <c r="C260" s="53">
        <f>PRRAS!D270</f>
        <v>235217</v>
      </c>
      <c r="D260" s="53">
        <f>PRRAS!E270</f>
        <v>250437</v>
      </c>
      <c r="E260" s="53">
        <v>0</v>
      </c>
      <c r="F260" s="53">
        <v>0</v>
      </c>
      <c r="G260" s="54">
        <f t="shared" si="8"/>
        <v>190647.56900000002</v>
      </c>
      <c r="H260" s="54">
        <f t="shared" si="9"/>
        <v>0</v>
      </c>
      <c r="I260" s="55">
        <v>0</v>
      </c>
    </row>
    <row r="261" spans="1:9" x14ac:dyDescent="0.2">
      <c r="A261" s="52">
        <v>151</v>
      </c>
      <c r="B261" s="53">
        <f>PRRAS!C271</f>
        <v>260</v>
      </c>
      <c r="C261" s="53">
        <f>PRRAS!D271</f>
        <v>235217</v>
      </c>
      <c r="D261" s="53">
        <f>PRRAS!E271</f>
        <v>250437</v>
      </c>
      <c r="E261" s="53">
        <v>0</v>
      </c>
      <c r="F261" s="53">
        <v>0</v>
      </c>
      <c r="G261" s="54">
        <f t="shared" si="8"/>
        <v>191383.66</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3545839</v>
      </c>
      <c r="D285" s="53">
        <f>PRRAS!E295</f>
        <v>3383955</v>
      </c>
      <c r="E285" s="53">
        <v>0</v>
      </c>
      <c r="F285" s="53">
        <v>0</v>
      </c>
      <c r="G285" s="54">
        <f t="shared" si="8"/>
        <v>2929104.7159999995</v>
      </c>
      <c r="H285" s="54">
        <f t="shared" si="9"/>
        <v>0</v>
      </c>
      <c r="I285" s="55">
        <v>0</v>
      </c>
    </row>
    <row r="286" spans="1:9" x14ac:dyDescent="0.2">
      <c r="A286" s="52">
        <v>151</v>
      </c>
      <c r="B286" s="53">
        <f>PRRAS!C296</f>
        <v>285</v>
      </c>
      <c r="C286" s="53">
        <f>PRRAS!D296</f>
        <v>2525605</v>
      </c>
      <c r="D286" s="53">
        <f>PRRAS!E296</f>
        <v>1757221</v>
      </c>
      <c r="E286" s="53">
        <v>0</v>
      </c>
      <c r="F286" s="53">
        <v>0</v>
      </c>
      <c r="G286" s="54">
        <f t="shared" si="8"/>
        <v>1721413.3949999998</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989212</v>
      </c>
      <c r="D288" s="53">
        <f>PRRAS!E298</f>
        <v>2133650</v>
      </c>
      <c r="E288" s="53">
        <v>0</v>
      </c>
      <c r="F288" s="53">
        <v>0</v>
      </c>
      <c r="G288" s="54">
        <f t="shared" si="8"/>
        <v>1508618.9439999999</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279730</v>
      </c>
      <c r="D290" s="53">
        <f>PRRAS!E300</f>
        <v>348023</v>
      </c>
      <c r="E290" s="53">
        <v>0</v>
      </c>
      <c r="F290" s="53">
        <v>0</v>
      </c>
      <c r="G290" s="54">
        <f t="shared" si="8"/>
        <v>281999.26399999997</v>
      </c>
      <c r="H290" s="54">
        <f t="shared" si="9"/>
        <v>0</v>
      </c>
      <c r="I290" s="55">
        <v>0</v>
      </c>
    </row>
    <row r="291" spans="1:9" x14ac:dyDescent="0.2">
      <c r="A291" s="52">
        <v>151</v>
      </c>
      <c r="B291" s="53">
        <f>PRRAS!C301</f>
        <v>290</v>
      </c>
      <c r="C291" s="53">
        <f>PRRAS!D301</f>
        <v>37251</v>
      </c>
      <c r="D291" s="53">
        <f>PRRAS!E301</f>
        <v>39719</v>
      </c>
      <c r="E291" s="53">
        <v>0</v>
      </c>
      <c r="F291" s="53">
        <v>0</v>
      </c>
      <c r="G291" s="54">
        <f t="shared" si="8"/>
        <v>33839.81</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2374</v>
      </c>
      <c r="D293" s="53">
        <f>PRRAS!E304</f>
        <v>15238</v>
      </c>
      <c r="E293" s="53">
        <v>0</v>
      </c>
      <c r="F293" s="53">
        <v>0</v>
      </c>
      <c r="G293" s="54">
        <f t="shared" si="8"/>
        <v>9592.1999999999989</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2374</v>
      </c>
      <c r="D306" s="53">
        <f>PRRAS!E317</f>
        <v>15238</v>
      </c>
      <c r="E306" s="53">
        <v>0</v>
      </c>
      <c r="F306" s="53">
        <v>0</v>
      </c>
      <c r="G306" s="54">
        <f t="shared" si="8"/>
        <v>10019.25</v>
      </c>
      <c r="H306" s="54">
        <f t="shared" si="9"/>
        <v>0</v>
      </c>
      <c r="I306" s="55">
        <v>0</v>
      </c>
    </row>
    <row r="307" spans="1:9" x14ac:dyDescent="0.2">
      <c r="A307" s="52">
        <v>151</v>
      </c>
      <c r="B307" s="53">
        <f>PRRAS!C318</f>
        <v>306</v>
      </c>
      <c r="C307" s="53">
        <f>PRRAS!D318</f>
        <v>2374</v>
      </c>
      <c r="D307" s="53">
        <f>PRRAS!E318</f>
        <v>15238</v>
      </c>
      <c r="E307" s="53">
        <v>0</v>
      </c>
      <c r="F307" s="53">
        <v>0</v>
      </c>
      <c r="G307" s="54">
        <f t="shared" si="8"/>
        <v>10052.1</v>
      </c>
      <c r="H307" s="54">
        <f t="shared" si="9"/>
        <v>0</v>
      </c>
      <c r="I307" s="55">
        <v>0</v>
      </c>
    </row>
    <row r="308" spans="1:9" x14ac:dyDescent="0.2">
      <c r="A308" s="52">
        <v>151</v>
      </c>
      <c r="B308" s="53">
        <f>PRRAS!C319</f>
        <v>307</v>
      </c>
      <c r="C308" s="53">
        <f>PRRAS!D319</f>
        <v>2374</v>
      </c>
      <c r="D308" s="53">
        <f>PRRAS!E319</f>
        <v>15238</v>
      </c>
      <c r="E308" s="53">
        <v>0</v>
      </c>
      <c r="F308" s="53">
        <v>0</v>
      </c>
      <c r="G308" s="54">
        <f t="shared" si="8"/>
        <v>10084.950000000001</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1607584</v>
      </c>
      <c r="D345" s="53">
        <f>PRRAS!E356</f>
        <v>3601872</v>
      </c>
      <c r="E345" s="53">
        <v>0</v>
      </c>
      <c r="F345" s="53">
        <v>0</v>
      </c>
      <c r="G345" s="54">
        <f t="shared" si="10"/>
        <v>3031096.8319999999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427258</v>
      </c>
      <c r="D358" s="53">
        <f>PRRAS!E369</f>
        <v>3601872</v>
      </c>
      <c r="E358" s="53">
        <v>0</v>
      </c>
      <c r="F358" s="53">
        <v>0</v>
      </c>
      <c r="G358" s="54">
        <f t="shared" si="10"/>
        <v>2724267.7139999997</v>
      </c>
      <c r="H358" s="54">
        <f t="shared" si="11"/>
        <v>0</v>
      </c>
      <c r="I358" s="55">
        <v>0</v>
      </c>
    </row>
    <row r="359" spans="1:9" x14ac:dyDescent="0.2">
      <c r="A359" s="52">
        <v>151</v>
      </c>
      <c r="B359" s="53">
        <f>PRRAS!C370</f>
        <v>358</v>
      </c>
      <c r="C359" s="53">
        <f>PRRAS!D370</f>
        <v>303140</v>
      </c>
      <c r="D359" s="53">
        <f>PRRAS!E370</f>
        <v>3555351</v>
      </c>
      <c r="E359" s="53">
        <v>0</v>
      </c>
      <c r="F359" s="53">
        <v>0</v>
      </c>
      <c r="G359" s="54">
        <f t="shared" si="10"/>
        <v>2654155.4359999998</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956298</v>
      </c>
      <c r="E362" s="53">
        <v>0</v>
      </c>
      <c r="F362" s="53">
        <v>0</v>
      </c>
      <c r="G362" s="54">
        <f t="shared" si="10"/>
        <v>690447.15599999996</v>
      </c>
      <c r="H362" s="54">
        <f t="shared" si="11"/>
        <v>0</v>
      </c>
      <c r="I362" s="55">
        <v>0</v>
      </c>
    </row>
    <row r="363" spans="1:9" x14ac:dyDescent="0.2">
      <c r="A363" s="52">
        <v>151</v>
      </c>
      <c r="B363" s="53">
        <f>PRRAS!C374</f>
        <v>362</v>
      </c>
      <c r="C363" s="53">
        <f>PRRAS!D374</f>
        <v>303140</v>
      </c>
      <c r="D363" s="53">
        <f>PRRAS!E374</f>
        <v>2599053</v>
      </c>
      <c r="E363" s="53">
        <v>0</v>
      </c>
      <c r="F363" s="53">
        <v>0</v>
      </c>
      <c r="G363" s="54">
        <f t="shared" si="10"/>
        <v>1991451.0519999999</v>
      </c>
      <c r="H363" s="54">
        <f t="shared" si="11"/>
        <v>0</v>
      </c>
      <c r="I363" s="55">
        <v>0</v>
      </c>
    </row>
    <row r="364" spans="1:9" x14ac:dyDescent="0.2">
      <c r="A364" s="52">
        <v>151</v>
      </c>
      <c r="B364" s="53">
        <f>PRRAS!C375</f>
        <v>363</v>
      </c>
      <c r="C364" s="53">
        <f>PRRAS!D375</f>
        <v>102096</v>
      </c>
      <c r="D364" s="53">
        <f>PRRAS!E375</f>
        <v>19561</v>
      </c>
      <c r="E364" s="53">
        <v>0</v>
      </c>
      <c r="F364" s="53">
        <v>0</v>
      </c>
      <c r="G364" s="54">
        <f t="shared" si="10"/>
        <v>51262.133999999998</v>
      </c>
      <c r="H364" s="54">
        <f t="shared" si="11"/>
        <v>0</v>
      </c>
      <c r="I364" s="55">
        <v>0</v>
      </c>
    </row>
    <row r="365" spans="1:9" x14ac:dyDescent="0.2">
      <c r="A365" s="52">
        <v>151</v>
      </c>
      <c r="B365" s="53">
        <f>PRRAS!C376</f>
        <v>364</v>
      </c>
      <c r="C365" s="53">
        <f>PRRAS!D376</f>
        <v>24503</v>
      </c>
      <c r="D365" s="53">
        <f>PRRAS!E376</f>
        <v>4641</v>
      </c>
      <c r="E365" s="53">
        <v>0</v>
      </c>
      <c r="F365" s="53">
        <v>0</v>
      </c>
      <c r="G365" s="54">
        <f t="shared" si="10"/>
        <v>12297.74</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2179</v>
      </c>
      <c r="D367" s="53">
        <f>PRRAS!E378</f>
        <v>14920</v>
      </c>
      <c r="E367" s="53">
        <v>0</v>
      </c>
      <c r="F367" s="53">
        <v>0</v>
      </c>
      <c r="G367" s="54">
        <f t="shared" si="10"/>
        <v>11718.954</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75414</v>
      </c>
      <c r="D371" s="53">
        <f>PRRAS!E382</f>
        <v>0</v>
      </c>
      <c r="E371" s="53">
        <v>0</v>
      </c>
      <c r="F371" s="53">
        <v>0</v>
      </c>
      <c r="G371" s="54">
        <f t="shared" si="10"/>
        <v>27903.18</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25000</v>
      </c>
      <c r="E373" s="53">
        <v>0</v>
      </c>
      <c r="F373" s="53">
        <v>0</v>
      </c>
      <c r="G373" s="54">
        <f t="shared" si="10"/>
        <v>18600</v>
      </c>
      <c r="H373" s="54">
        <f t="shared" si="11"/>
        <v>0</v>
      </c>
      <c r="I373" s="55">
        <v>0</v>
      </c>
    </row>
    <row r="374" spans="1:9" x14ac:dyDescent="0.2">
      <c r="A374" s="52">
        <v>151</v>
      </c>
      <c r="B374" s="53">
        <f>PRRAS!C385</f>
        <v>373</v>
      </c>
      <c r="C374" s="53">
        <f>PRRAS!D385</f>
        <v>0</v>
      </c>
      <c r="D374" s="53">
        <f>PRRAS!E385</f>
        <v>25000</v>
      </c>
      <c r="E374" s="53">
        <v>0</v>
      </c>
      <c r="F374" s="53">
        <v>0</v>
      </c>
      <c r="G374" s="54">
        <f t="shared" si="10"/>
        <v>18650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22022</v>
      </c>
      <c r="D386" s="53">
        <f>PRRAS!E397</f>
        <v>1960</v>
      </c>
      <c r="E386" s="53">
        <v>0</v>
      </c>
      <c r="F386" s="53">
        <v>0</v>
      </c>
      <c r="G386" s="54">
        <f t="shared" si="10"/>
        <v>9987.67</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9647</v>
      </c>
      <c r="D388" s="53">
        <f>PRRAS!E399</f>
        <v>1960</v>
      </c>
      <c r="E388" s="53">
        <v>0</v>
      </c>
      <c r="F388" s="53">
        <v>0</v>
      </c>
      <c r="G388" s="54">
        <f t="shared" si="10"/>
        <v>5250.4290000000001</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12375</v>
      </c>
      <c r="D390" s="53">
        <f>PRRAS!E401</f>
        <v>0</v>
      </c>
      <c r="E390" s="53">
        <v>0</v>
      </c>
      <c r="F390" s="53">
        <v>0</v>
      </c>
      <c r="G390" s="54">
        <f t="shared" si="12"/>
        <v>4813.875</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1180326</v>
      </c>
      <c r="D397" s="53">
        <f>PRRAS!E408</f>
        <v>0</v>
      </c>
      <c r="E397" s="53">
        <v>0</v>
      </c>
      <c r="F397" s="53">
        <v>0</v>
      </c>
      <c r="G397" s="54">
        <f t="shared" si="12"/>
        <v>467409.09600000002</v>
      </c>
      <c r="H397" s="54">
        <f t="shared" si="13"/>
        <v>0</v>
      </c>
      <c r="I397" s="55">
        <v>0</v>
      </c>
    </row>
    <row r="398" spans="1:9" x14ac:dyDescent="0.2">
      <c r="A398" s="52">
        <v>151</v>
      </c>
      <c r="B398" s="53">
        <f>PRRAS!C409</f>
        <v>397</v>
      </c>
      <c r="C398" s="53">
        <f>PRRAS!D409</f>
        <v>1180326</v>
      </c>
      <c r="D398" s="53">
        <f>PRRAS!E409</f>
        <v>0</v>
      </c>
      <c r="E398" s="53">
        <v>0</v>
      </c>
      <c r="F398" s="53">
        <v>0</v>
      </c>
      <c r="G398" s="54">
        <f t="shared" si="12"/>
        <v>468589.42200000002</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1605210</v>
      </c>
      <c r="D403" s="53">
        <f>PRRAS!E414</f>
        <v>3586634</v>
      </c>
      <c r="E403" s="53">
        <v>0</v>
      </c>
      <c r="F403" s="53">
        <v>0</v>
      </c>
      <c r="G403" s="54">
        <f t="shared" si="12"/>
        <v>3528948.1560000004</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91408</v>
      </c>
      <c r="D406" s="53">
        <f>PRRAS!E417</f>
        <v>54029</v>
      </c>
      <c r="E406" s="53">
        <v>0</v>
      </c>
      <c r="F406" s="53">
        <v>0</v>
      </c>
      <c r="G406" s="54">
        <f t="shared" si="12"/>
        <v>80783.73000000001</v>
      </c>
      <c r="H406" s="54">
        <f t="shared" si="13"/>
        <v>0</v>
      </c>
      <c r="I406" s="55">
        <v>0</v>
      </c>
    </row>
    <row r="407" spans="1:9" x14ac:dyDescent="0.2">
      <c r="A407" s="52">
        <v>151</v>
      </c>
      <c r="B407" s="53">
        <f>PRRAS!C418</f>
        <v>406</v>
      </c>
      <c r="C407" s="53">
        <f>PRRAS!D418</f>
        <v>6073818</v>
      </c>
      <c r="D407" s="53">
        <f>PRRAS!E418</f>
        <v>5156414</v>
      </c>
      <c r="E407" s="53">
        <v>0</v>
      </c>
      <c r="F407" s="53">
        <v>0</v>
      </c>
      <c r="G407" s="54">
        <f t="shared" si="12"/>
        <v>6652978.2760000005</v>
      </c>
      <c r="H407" s="54">
        <f t="shared" si="13"/>
        <v>0</v>
      </c>
      <c r="I407" s="55">
        <v>0</v>
      </c>
    </row>
    <row r="408" spans="1:9" x14ac:dyDescent="0.2">
      <c r="A408" s="52">
        <v>151</v>
      </c>
      <c r="B408" s="53">
        <f>PRRAS!C419</f>
        <v>407</v>
      </c>
      <c r="C408" s="53">
        <f>PRRAS!D419</f>
        <v>5153423</v>
      </c>
      <c r="D408" s="53">
        <f>PRRAS!E419</f>
        <v>6985827</v>
      </c>
      <c r="E408" s="53">
        <v>0</v>
      </c>
      <c r="F408" s="53">
        <v>0</v>
      </c>
      <c r="G408" s="54">
        <f t="shared" si="12"/>
        <v>7783906.3389999997</v>
      </c>
      <c r="H408" s="54">
        <f t="shared" si="13"/>
        <v>0</v>
      </c>
      <c r="I408" s="55">
        <v>0</v>
      </c>
    </row>
    <row r="409" spans="1:9" x14ac:dyDescent="0.2">
      <c r="A409" s="52">
        <v>151</v>
      </c>
      <c r="B409" s="53">
        <f>PRRAS!C420</f>
        <v>408</v>
      </c>
      <c r="C409" s="53">
        <f>PRRAS!D420</f>
        <v>920395</v>
      </c>
      <c r="D409" s="53">
        <f>PRRAS!E420</f>
        <v>0</v>
      </c>
      <c r="E409" s="53">
        <v>0</v>
      </c>
      <c r="F409" s="53">
        <v>0</v>
      </c>
      <c r="G409" s="54">
        <f t="shared" si="12"/>
        <v>375521.16</v>
      </c>
      <c r="H409" s="54">
        <f t="shared" si="13"/>
        <v>0</v>
      </c>
      <c r="I409" s="55">
        <v>0</v>
      </c>
    </row>
    <row r="410" spans="1:9" x14ac:dyDescent="0.2">
      <c r="A410" s="52">
        <v>151</v>
      </c>
      <c r="B410" s="53">
        <f>PRRAS!C421</f>
        <v>409</v>
      </c>
      <c r="C410" s="53">
        <f>PRRAS!D421</f>
        <v>0</v>
      </c>
      <c r="D410" s="53">
        <f>PRRAS!E421</f>
        <v>1829413</v>
      </c>
      <c r="E410" s="53">
        <v>0</v>
      </c>
      <c r="F410" s="53">
        <v>0</v>
      </c>
      <c r="G410" s="54">
        <f t="shared" si="12"/>
        <v>1496459.8339999998</v>
      </c>
      <c r="H410" s="54">
        <f t="shared" si="13"/>
        <v>0</v>
      </c>
      <c r="I410" s="55">
        <v>0</v>
      </c>
    </row>
    <row r="411" spans="1:9" x14ac:dyDescent="0.2">
      <c r="A411" s="52">
        <v>151</v>
      </c>
      <c r="B411" s="53">
        <f>PRRAS!C422</f>
        <v>410</v>
      </c>
      <c r="C411" s="53">
        <f>PRRAS!D422</f>
        <v>989212</v>
      </c>
      <c r="D411" s="53">
        <f>PRRAS!E422</f>
        <v>2133650</v>
      </c>
      <c r="E411" s="53">
        <v>0</v>
      </c>
      <c r="F411" s="53">
        <v>0</v>
      </c>
      <c r="G411" s="54">
        <f t="shared" si="12"/>
        <v>2155169.92</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371138</v>
      </c>
      <c r="D413" s="53">
        <f>PRRAS!E424</f>
        <v>402052</v>
      </c>
      <c r="E413" s="53">
        <v>0</v>
      </c>
      <c r="F413" s="53">
        <v>0</v>
      </c>
      <c r="G413" s="54">
        <f t="shared" si="12"/>
        <v>484199.70399999997</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27700</v>
      </c>
      <c r="D522" s="53">
        <f>PRRAS!E534</f>
        <v>0</v>
      </c>
      <c r="E522" s="53">
        <v>0</v>
      </c>
      <c r="F522" s="53">
        <v>0</v>
      </c>
      <c r="G522" s="54">
        <f t="shared" si="16"/>
        <v>14431.7</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27700</v>
      </c>
      <c r="D574" s="53">
        <f>PRRAS!E586</f>
        <v>0</v>
      </c>
      <c r="E574" s="53">
        <v>0</v>
      </c>
      <c r="F574" s="53">
        <v>0</v>
      </c>
      <c r="G574" s="54">
        <f t="shared" si="16"/>
        <v>15872.099999999999</v>
      </c>
      <c r="H574" s="54">
        <f t="shared" si="17"/>
        <v>0</v>
      </c>
      <c r="I574" s="55">
        <v>0</v>
      </c>
    </row>
    <row r="575" spans="1:9" x14ac:dyDescent="0.2">
      <c r="A575" s="52">
        <v>151</v>
      </c>
      <c r="B575" s="53">
        <f>PRRAS!C587</f>
        <v>574</v>
      </c>
      <c r="C575" s="53">
        <f>PRRAS!D587</f>
        <v>27700</v>
      </c>
      <c r="D575" s="53">
        <f>PRRAS!E587</f>
        <v>0</v>
      </c>
      <c r="E575" s="53">
        <v>0</v>
      </c>
      <c r="F575" s="53">
        <v>0</v>
      </c>
      <c r="G575" s="54">
        <f t="shared" si="16"/>
        <v>15899.8</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27700</v>
      </c>
      <c r="D578" s="53">
        <f>PRRAS!E590</f>
        <v>0</v>
      </c>
      <c r="E578" s="53">
        <v>0</v>
      </c>
      <c r="F578" s="53">
        <v>0</v>
      </c>
      <c r="G578" s="54">
        <f t="shared" si="16"/>
        <v>15982.9</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27700</v>
      </c>
      <c r="D630" s="53">
        <f>PRRAS!E642</f>
        <v>0</v>
      </c>
      <c r="E630" s="53">
        <v>0</v>
      </c>
      <c r="F630" s="53">
        <v>0</v>
      </c>
      <c r="G630" s="54">
        <f t="shared" si="18"/>
        <v>17423.3</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6073818</v>
      </c>
      <c r="D633" s="53">
        <f>PRRAS!E645</f>
        <v>5156414</v>
      </c>
      <c r="E633" s="53">
        <v>0</v>
      </c>
      <c r="F633" s="53">
        <v>0</v>
      </c>
      <c r="G633" s="54">
        <f t="shared" si="18"/>
        <v>10356360.272</v>
      </c>
      <c r="H633" s="54">
        <f t="shared" si="19"/>
        <v>0</v>
      </c>
      <c r="I633" s="55">
        <v>0</v>
      </c>
    </row>
    <row r="634" spans="1:9" x14ac:dyDescent="0.2">
      <c r="A634" s="52">
        <v>151</v>
      </c>
      <c r="B634" s="53">
        <f>PRRAS!C646</f>
        <v>633</v>
      </c>
      <c r="C634" s="53">
        <f>PRRAS!D646</f>
        <v>5181123</v>
      </c>
      <c r="D634" s="53">
        <f>PRRAS!E646</f>
        <v>6985827</v>
      </c>
      <c r="E634" s="53">
        <v>0</v>
      </c>
      <c r="F634" s="53">
        <v>0</v>
      </c>
      <c r="G634" s="54">
        <f t="shared" si="18"/>
        <v>12123707.841</v>
      </c>
      <c r="H634" s="54">
        <f t="shared" si="19"/>
        <v>0</v>
      </c>
      <c r="I634" s="55">
        <v>0</v>
      </c>
    </row>
    <row r="635" spans="1:9" x14ac:dyDescent="0.2">
      <c r="A635" s="52">
        <v>151</v>
      </c>
      <c r="B635" s="53">
        <f>PRRAS!C647</f>
        <v>634</v>
      </c>
      <c r="C635" s="53">
        <f>PRRAS!D647</f>
        <v>892695</v>
      </c>
      <c r="D635" s="53">
        <f>PRRAS!E647</f>
        <v>0</v>
      </c>
      <c r="E635" s="53">
        <v>0</v>
      </c>
      <c r="F635" s="53">
        <v>0</v>
      </c>
      <c r="G635" s="54">
        <f t="shared" si="18"/>
        <v>565968.63</v>
      </c>
      <c r="H635" s="54">
        <f t="shared" si="19"/>
        <v>0</v>
      </c>
      <c r="I635" s="55">
        <v>0</v>
      </c>
    </row>
    <row r="636" spans="1:9" x14ac:dyDescent="0.2">
      <c r="A636" s="52">
        <v>151</v>
      </c>
      <c r="B636" s="53">
        <f>PRRAS!C648</f>
        <v>635</v>
      </c>
      <c r="C636" s="53">
        <f>PRRAS!D648</f>
        <v>0</v>
      </c>
      <c r="D636" s="53">
        <f>PRRAS!E648</f>
        <v>1829413</v>
      </c>
      <c r="E636" s="53">
        <v>0</v>
      </c>
      <c r="F636" s="53">
        <v>0</v>
      </c>
      <c r="G636" s="54">
        <f t="shared" si="18"/>
        <v>2323354.5100000002</v>
      </c>
      <c r="H636" s="54">
        <f t="shared" si="19"/>
        <v>0</v>
      </c>
      <c r="I636" s="55">
        <v>0</v>
      </c>
    </row>
    <row r="637" spans="1:9" x14ac:dyDescent="0.2">
      <c r="A637" s="52">
        <v>151</v>
      </c>
      <c r="B637" s="53">
        <f>PRRAS!C649</f>
        <v>636</v>
      </c>
      <c r="C637" s="53">
        <f>PRRAS!D649</f>
        <v>989212</v>
      </c>
      <c r="D637" s="53">
        <f>PRRAS!E649</f>
        <v>2133650</v>
      </c>
      <c r="E637" s="53">
        <v>0</v>
      </c>
      <c r="F637" s="53">
        <v>0</v>
      </c>
      <c r="G637" s="54">
        <f t="shared" si="18"/>
        <v>3343141.6320000002</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1881907</v>
      </c>
      <c r="D639" s="53">
        <f>PRRAS!E651</f>
        <v>304237</v>
      </c>
      <c r="E639" s="53">
        <v>0</v>
      </c>
      <c r="F639" s="53">
        <v>0</v>
      </c>
      <c r="G639" s="54">
        <f t="shared" si="18"/>
        <v>1588863.078</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1008868</v>
      </c>
      <c r="D642" s="53">
        <f>PRRAS!E655</f>
        <v>2266010</v>
      </c>
      <c r="E642" s="53">
        <v>0</v>
      </c>
      <c r="F642" s="53">
        <v>0</v>
      </c>
      <c r="G642" s="54">
        <f t="shared" si="18"/>
        <v>3551709.2080000001</v>
      </c>
      <c r="H642" s="54">
        <f t="shared" si="19"/>
        <v>0</v>
      </c>
      <c r="I642" s="55">
        <v>0</v>
      </c>
    </row>
    <row r="643" spans="1:9" x14ac:dyDescent="0.2">
      <c r="A643" s="52">
        <v>151</v>
      </c>
      <c r="B643" s="53">
        <f>PRRAS!C656</f>
        <v>642</v>
      </c>
      <c r="C643" s="53">
        <f>PRRAS!D656</f>
        <v>6308655</v>
      </c>
      <c r="D643" s="53">
        <f>PRRAS!E656</f>
        <v>5225128</v>
      </c>
      <c r="E643" s="53">
        <v>0</v>
      </c>
      <c r="F643" s="53">
        <v>0</v>
      </c>
      <c r="G643" s="54">
        <f t="shared" si="18"/>
        <v>10759220.862</v>
      </c>
      <c r="H643" s="54">
        <f t="shared" si="19"/>
        <v>0</v>
      </c>
      <c r="I643" s="55">
        <v>0</v>
      </c>
    </row>
    <row r="644" spans="1:9" x14ac:dyDescent="0.2">
      <c r="A644" s="52">
        <v>151</v>
      </c>
      <c r="B644" s="53">
        <f>PRRAS!C657</f>
        <v>643</v>
      </c>
      <c r="C644" s="53">
        <f>PRRAS!D657</f>
        <v>5129992</v>
      </c>
      <c r="D644" s="53">
        <f>PRRAS!E657</f>
        <v>6152073</v>
      </c>
      <c r="E644" s="53">
        <v>0</v>
      </c>
      <c r="F644" s="53">
        <v>0</v>
      </c>
      <c r="G644" s="54">
        <f t="shared" si="18"/>
        <v>11210150.734000001</v>
      </c>
      <c r="H644" s="54">
        <f t="shared" si="19"/>
        <v>0</v>
      </c>
      <c r="I644" s="55">
        <v>0</v>
      </c>
    </row>
    <row r="645" spans="1:9" x14ac:dyDescent="0.2">
      <c r="A645" s="52">
        <v>151</v>
      </c>
      <c r="B645" s="53">
        <f>PRRAS!C658</f>
        <v>644</v>
      </c>
      <c r="C645" s="53">
        <f>PRRAS!D658</f>
        <v>2187531</v>
      </c>
      <c r="D645" s="53">
        <f>PRRAS!E658</f>
        <v>1339065</v>
      </c>
      <c r="E645" s="53">
        <v>0</v>
      </c>
      <c r="F645" s="53">
        <v>0</v>
      </c>
      <c r="G645" s="54">
        <f t="shared" ref="G645:G726" si="20">(B645/1000)*(C645*1+D645*2)</f>
        <v>3133485.6839999999</v>
      </c>
      <c r="H645" s="54">
        <f t="shared" ref="H645:H726" si="21">ABS(C645-ROUND(C645,0))+ABS(D645-ROUND(D645,0))</f>
        <v>0</v>
      </c>
      <c r="I645" s="55">
        <v>0</v>
      </c>
    </row>
    <row r="646" spans="1:9" x14ac:dyDescent="0.2">
      <c r="A646" s="52">
        <v>151</v>
      </c>
      <c r="B646" s="53">
        <f>PRRAS!C659</f>
        <v>645</v>
      </c>
      <c r="C646" s="53">
        <f>PRRAS!D659</f>
        <v>10</v>
      </c>
      <c r="D646" s="53">
        <f>PRRAS!E659</f>
        <v>11</v>
      </c>
      <c r="E646" s="53">
        <v>0</v>
      </c>
      <c r="F646" s="53">
        <v>0</v>
      </c>
      <c r="G646" s="54">
        <f t="shared" si="20"/>
        <v>20.64</v>
      </c>
      <c r="H646" s="54">
        <f t="shared" si="21"/>
        <v>0</v>
      </c>
      <c r="I646" s="55">
        <v>0</v>
      </c>
    </row>
    <row r="647" spans="1:9" x14ac:dyDescent="0.2">
      <c r="A647" s="52">
        <v>151</v>
      </c>
      <c r="B647" s="53">
        <f>PRRAS!C660</f>
        <v>646</v>
      </c>
      <c r="C647" s="53">
        <f>PRRAS!D660</f>
        <v>0</v>
      </c>
      <c r="D647" s="53">
        <f>PRRAS!E660</f>
        <v>0</v>
      </c>
      <c r="E647" s="53">
        <v>0</v>
      </c>
      <c r="F647" s="53">
        <v>0</v>
      </c>
      <c r="G647" s="54">
        <f t="shared" si="20"/>
        <v>0</v>
      </c>
      <c r="H647" s="54">
        <f t="shared" si="21"/>
        <v>0</v>
      </c>
      <c r="I647" s="55">
        <v>0</v>
      </c>
    </row>
    <row r="648" spans="1:9" x14ac:dyDescent="0.2">
      <c r="A648" s="52">
        <v>151</v>
      </c>
      <c r="B648" s="53">
        <f>PRRAS!C661</f>
        <v>647</v>
      </c>
      <c r="C648" s="53">
        <f>PRRAS!D661</f>
        <v>10</v>
      </c>
      <c r="D648" s="53">
        <f>PRRAS!E661</f>
        <v>11</v>
      </c>
      <c r="E648" s="53">
        <v>0</v>
      </c>
      <c r="F648" s="53">
        <v>0</v>
      </c>
      <c r="G648" s="54">
        <f t="shared" si="20"/>
        <v>20.704000000000001</v>
      </c>
      <c r="H648" s="54">
        <f t="shared" si="21"/>
        <v>0</v>
      </c>
      <c r="I648" s="55">
        <v>0</v>
      </c>
    </row>
    <row r="649" spans="1:9" x14ac:dyDescent="0.2">
      <c r="A649" s="52">
        <v>151</v>
      </c>
      <c r="B649" s="53">
        <f>PRRAS!C662</f>
        <v>648</v>
      </c>
      <c r="C649" s="53">
        <f>PRRAS!D662</f>
        <v>0</v>
      </c>
      <c r="D649" s="53">
        <f>PRRAS!E662</f>
        <v>0</v>
      </c>
      <c r="E649" s="53">
        <v>0</v>
      </c>
      <c r="F649" s="53">
        <v>0</v>
      </c>
      <c r="G649" s="54">
        <f t="shared" si="20"/>
        <v>0</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884</v>
      </c>
      <c r="D651" s="53">
        <f>PRRAS!E664</f>
        <v>3646</v>
      </c>
      <c r="E651" s="53">
        <v>0</v>
      </c>
      <c r="F651" s="53">
        <v>0</v>
      </c>
      <c r="G651" s="54">
        <f t="shared" si="20"/>
        <v>5314.4000000000005</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3990</v>
      </c>
      <c r="E653" s="53">
        <v>0</v>
      </c>
      <c r="F653" s="53">
        <v>0</v>
      </c>
      <c r="G653" s="54">
        <f t="shared" si="20"/>
        <v>5202.96</v>
      </c>
      <c r="H653" s="54">
        <f t="shared" si="21"/>
        <v>0</v>
      </c>
      <c r="I653" s="55">
        <v>0</v>
      </c>
    </row>
    <row r="654" spans="1:9" x14ac:dyDescent="0.2">
      <c r="A654" s="52">
        <v>151</v>
      </c>
      <c r="B654" s="53">
        <f>PRRAS!C667</f>
        <v>653</v>
      </c>
      <c r="C654" s="53">
        <f>PRRAS!D667</f>
        <v>780</v>
      </c>
      <c r="D654" s="53">
        <f>PRRAS!E667</f>
        <v>1911884</v>
      </c>
      <c r="E654" s="53">
        <v>0</v>
      </c>
      <c r="F654" s="53">
        <v>0</v>
      </c>
      <c r="G654" s="54">
        <f t="shared" si="20"/>
        <v>2497429.844</v>
      </c>
      <c r="H654" s="54">
        <f t="shared" si="21"/>
        <v>0</v>
      </c>
      <c r="I654" s="55">
        <v>0</v>
      </c>
    </row>
    <row r="655" spans="1:9" x14ac:dyDescent="0.2">
      <c r="A655" s="52">
        <v>151</v>
      </c>
      <c r="B655" s="53">
        <f>PRRAS!C668</f>
        <v>654</v>
      </c>
      <c r="C655" s="53">
        <f>PRRAS!D668</f>
        <v>130034</v>
      </c>
      <c r="D655" s="53">
        <f>PRRAS!E668</f>
        <v>10500</v>
      </c>
      <c r="E655" s="53">
        <v>0</v>
      </c>
      <c r="F655" s="53">
        <v>0</v>
      </c>
      <c r="G655" s="54">
        <f t="shared" si="20"/>
        <v>98776.236000000004</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61250</v>
      </c>
      <c r="D658" s="53">
        <f>PRRAS!E671</f>
        <v>189633</v>
      </c>
      <c r="E658" s="53">
        <v>0</v>
      </c>
      <c r="F658" s="53">
        <v>0</v>
      </c>
      <c r="G658" s="54">
        <f t="shared" si="20"/>
        <v>289419.01199999999</v>
      </c>
      <c r="H658" s="54">
        <f t="shared" si="21"/>
        <v>0</v>
      </c>
      <c r="I658" s="55">
        <v>0</v>
      </c>
    </row>
    <row r="659" spans="1:9" x14ac:dyDescent="0.2">
      <c r="A659" s="52">
        <v>151</v>
      </c>
      <c r="B659" s="53">
        <f>PRRAS!C672</f>
        <v>658</v>
      </c>
      <c r="C659" s="53">
        <f>PRRAS!D672</f>
        <v>212375</v>
      </c>
      <c r="D659" s="53">
        <f>PRRAS!E672</f>
        <v>230360</v>
      </c>
      <c r="E659" s="53">
        <v>0</v>
      </c>
      <c r="F659" s="53">
        <v>0</v>
      </c>
      <c r="G659" s="54">
        <f t="shared" si="20"/>
        <v>442896.51</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28983</v>
      </c>
      <c r="D662" s="53">
        <f>PRRAS!E675</f>
        <v>29890</v>
      </c>
      <c r="E662" s="53">
        <v>0</v>
      </c>
      <c r="F662" s="53">
        <v>0</v>
      </c>
      <c r="G662" s="54">
        <f t="shared" si="20"/>
        <v>58672.343000000001</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1864545</v>
      </c>
      <c r="D691" s="53">
        <f>PRRAS!E704</f>
        <v>439411</v>
      </c>
      <c r="E691" s="53">
        <v>0</v>
      </c>
      <c r="F691" s="53">
        <v>0</v>
      </c>
      <c r="G691" s="54">
        <f t="shared" si="20"/>
        <v>1892923.2299999997</v>
      </c>
      <c r="H691" s="54">
        <f t="shared" si="21"/>
        <v>0</v>
      </c>
      <c r="I691" s="55">
        <v>0</v>
      </c>
    </row>
    <row r="692" spans="1:9" x14ac:dyDescent="0.2">
      <c r="A692" s="52">
        <v>151</v>
      </c>
      <c r="B692" s="53">
        <f>PRRAS!C705</f>
        <v>691</v>
      </c>
      <c r="C692" s="53">
        <f>PRRAS!D705</f>
        <v>138408</v>
      </c>
      <c r="D692" s="53">
        <f>PRRAS!E705</f>
        <v>55204</v>
      </c>
      <c r="E692" s="53">
        <v>0</v>
      </c>
      <c r="F692" s="53">
        <v>0</v>
      </c>
      <c r="G692" s="54">
        <f t="shared" si="20"/>
        <v>171931.856</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0</v>
      </c>
      <c r="E710" s="53">
        <v>0</v>
      </c>
      <c r="F710" s="53">
        <v>0</v>
      </c>
      <c r="G710" s="54">
        <f t="shared" si="20"/>
        <v>0</v>
      </c>
      <c r="H710" s="54">
        <f t="shared" si="21"/>
        <v>0</v>
      </c>
      <c r="I710" s="55">
        <v>0</v>
      </c>
    </row>
    <row r="711" spans="1:9" x14ac:dyDescent="0.2">
      <c r="A711" s="52">
        <v>151</v>
      </c>
      <c r="B711" s="53">
        <f>PRRAS!C724</f>
        <v>710</v>
      </c>
      <c r="C711" s="53">
        <f>PRRAS!D724</f>
        <v>24429</v>
      </c>
      <c r="D711" s="53">
        <f>PRRAS!E724</f>
        <v>19457</v>
      </c>
      <c r="E711" s="53">
        <v>0</v>
      </c>
      <c r="F711" s="53">
        <v>0</v>
      </c>
      <c r="G711" s="54">
        <f t="shared" si="20"/>
        <v>44973.53</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3435</v>
      </c>
      <c r="D715" s="53">
        <f>PRRAS!E728</f>
        <v>40307</v>
      </c>
      <c r="E715" s="53">
        <v>0</v>
      </c>
      <c r="F715" s="53">
        <v>0</v>
      </c>
      <c r="G715" s="54">
        <f t="shared" si="20"/>
        <v>60010.985999999997</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40056</v>
      </c>
      <c r="D718" s="53">
        <f>PRRAS!E731</f>
        <v>160411</v>
      </c>
      <c r="E718" s="53">
        <v>0</v>
      </c>
      <c r="F718" s="53">
        <v>0</v>
      </c>
      <c r="G718" s="54">
        <f t="shared" si="20"/>
        <v>258749.52599999998</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5695</v>
      </c>
      <c r="E752" s="53">
        <v>0</v>
      </c>
      <c r="F752" s="53">
        <v>0</v>
      </c>
      <c r="G752" s="54">
        <f t="shared" si="24"/>
        <v>8553.89</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3810</v>
      </c>
      <c r="E755" s="53">
        <v>0</v>
      </c>
      <c r="F755" s="53">
        <v>0</v>
      </c>
      <c r="G755" s="54">
        <f t="shared" si="24"/>
        <v>5745.4800000000005</v>
      </c>
      <c r="H755" s="54">
        <f t="shared" si="25"/>
        <v>0</v>
      </c>
      <c r="I755" s="55">
        <v>0</v>
      </c>
    </row>
    <row r="756" spans="1:9" x14ac:dyDescent="0.2">
      <c r="A756" s="52">
        <v>151</v>
      </c>
      <c r="B756" s="53">
        <f>PRRAS!C769</f>
        <v>755</v>
      </c>
      <c r="C756" s="53">
        <f>PRRAS!D769</f>
        <v>17679</v>
      </c>
      <c r="D756" s="53">
        <f>PRRAS!E769</f>
        <v>7470</v>
      </c>
      <c r="E756" s="53">
        <v>0</v>
      </c>
      <c r="F756" s="53">
        <v>0</v>
      </c>
      <c r="G756" s="54">
        <f t="shared" si="24"/>
        <v>24627.345000000001</v>
      </c>
      <c r="H756" s="54">
        <f t="shared" si="25"/>
        <v>0</v>
      </c>
      <c r="I756" s="55">
        <v>0</v>
      </c>
    </row>
    <row r="757" spans="1:9" x14ac:dyDescent="0.2">
      <c r="A757" s="52">
        <v>151</v>
      </c>
      <c r="B757" s="53">
        <f>PRRAS!C770</f>
        <v>756</v>
      </c>
      <c r="C757" s="53">
        <f>PRRAS!D770</f>
        <v>18000</v>
      </c>
      <c r="D757" s="53">
        <f>PRRAS!E770</f>
        <v>27000</v>
      </c>
      <c r="E757" s="53">
        <v>0</v>
      </c>
      <c r="F757" s="53">
        <v>0</v>
      </c>
      <c r="G757" s="54">
        <f t="shared" si="24"/>
        <v>54432</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20833</v>
      </c>
      <c r="E766" s="53">
        <v>0</v>
      </c>
      <c r="F766" s="53">
        <v>0</v>
      </c>
      <c r="G766" s="54">
        <f t="shared" si="24"/>
        <v>31874.49</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161050</v>
      </c>
      <c r="D809" s="53">
        <f>PRRAS!E822</f>
        <v>107500</v>
      </c>
      <c r="E809" s="53">
        <v>0</v>
      </c>
      <c r="F809" s="53">
        <v>0</v>
      </c>
      <c r="G809" s="54">
        <f t="shared" si="28"/>
        <v>303848.40000000002</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31500</v>
      </c>
      <c r="D812" s="53">
        <f>PRRAS!E825</f>
        <v>31500</v>
      </c>
      <c r="E812" s="53">
        <v>0</v>
      </c>
      <c r="F812" s="53">
        <v>0</v>
      </c>
      <c r="G812" s="54">
        <f t="shared" si="28"/>
        <v>76639.5</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18000</v>
      </c>
      <c r="D814" s="53">
        <f>PRRAS!E827</f>
        <v>34000</v>
      </c>
      <c r="E814" s="53">
        <v>0</v>
      </c>
      <c r="F814" s="53">
        <v>0</v>
      </c>
      <c r="G814" s="54">
        <f t="shared" si="28"/>
        <v>69918</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54899</v>
      </c>
      <c r="D818" s="53">
        <f>PRRAS!E831</f>
        <v>33811</v>
      </c>
      <c r="E818" s="53">
        <v>0</v>
      </c>
      <c r="F818" s="53">
        <v>0</v>
      </c>
      <c r="G818" s="54">
        <f t="shared" si="28"/>
        <v>100099.65699999999</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3691</v>
      </c>
      <c r="D820" s="53">
        <f>PRRAS!E833</f>
        <v>6961</v>
      </c>
      <c r="E820" s="53">
        <v>0</v>
      </c>
      <c r="F820" s="53">
        <v>0</v>
      </c>
      <c r="G820" s="54">
        <f t="shared" si="28"/>
        <v>14425.046999999999</v>
      </c>
      <c r="H820" s="54">
        <f t="shared" si="29"/>
        <v>0</v>
      </c>
      <c r="I820" s="55">
        <v>0</v>
      </c>
    </row>
    <row r="821" spans="1:9" x14ac:dyDescent="0.2">
      <c r="A821" s="52">
        <v>151</v>
      </c>
      <c r="B821" s="53">
        <f>PRRAS!C834</f>
        <v>820</v>
      </c>
      <c r="C821" s="53">
        <f>PRRAS!D834</f>
        <v>15429</v>
      </c>
      <c r="D821" s="53">
        <f>PRRAS!E834</f>
        <v>2320</v>
      </c>
      <c r="E821" s="53">
        <v>0</v>
      </c>
      <c r="F821" s="53">
        <v>0</v>
      </c>
      <c r="G821" s="54">
        <f t="shared" si="28"/>
        <v>16456.579999999998</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9">
        <v>151</v>
      </c>
      <c r="B983" s="270">
        <f>PRRAS!C999</f>
        <v>982</v>
      </c>
      <c r="C983" s="270">
        <f>PRRAS!D999</f>
        <v>0</v>
      </c>
      <c r="D983" s="270">
        <f>PRRAS!E999</f>
        <v>0</v>
      </c>
      <c r="E983" s="270">
        <v>0</v>
      </c>
      <c r="F983" s="270">
        <v>0</v>
      </c>
      <c r="G983" s="271">
        <f t="shared" si="36"/>
        <v>0</v>
      </c>
      <c r="H983" s="271">
        <f t="shared" si="37"/>
        <v>0</v>
      </c>
      <c r="I983" s="272">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213893</v>
      </c>
      <c r="D1480" s="65"/>
      <c r="E1480" s="65">
        <v>0</v>
      </c>
      <c r="F1480" s="65">
        <v>0</v>
      </c>
      <c r="G1480" s="59">
        <f t="shared" ref="G1480:G1513" si="55">B1480/1000*C1480</f>
        <v>213.893</v>
      </c>
      <c r="H1480" s="59">
        <f t="shared" ref="H1480:H1513" si="56">ABS(C1480-ROUND(C1480,0))</f>
        <v>0</v>
      </c>
      <c r="I1480" s="60">
        <v>0</v>
      </c>
    </row>
    <row r="1481" spans="1:9" x14ac:dyDescent="0.2">
      <c r="A1481" s="68">
        <v>159</v>
      </c>
      <c r="B1481" s="56">
        <f>Obv!C13</f>
        <v>2</v>
      </c>
      <c r="C1481" s="56">
        <f>Obv!D13</f>
        <v>6459380</v>
      </c>
      <c r="D1481" s="56">
        <v>0</v>
      </c>
      <c r="E1481" s="56">
        <v>0</v>
      </c>
      <c r="F1481" s="56">
        <v>0</v>
      </c>
      <c r="G1481" s="54">
        <f t="shared" si="55"/>
        <v>12918.76</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2882507</v>
      </c>
      <c r="D1483" s="56">
        <v>0</v>
      </c>
      <c r="E1483" s="56">
        <v>0</v>
      </c>
      <c r="F1483" s="56">
        <v>0</v>
      </c>
      <c r="G1483" s="54">
        <f t="shared" si="55"/>
        <v>11530.028</v>
      </c>
      <c r="H1483" s="54">
        <f t="shared" si="56"/>
        <v>0</v>
      </c>
      <c r="I1483" s="55">
        <v>0</v>
      </c>
    </row>
    <row r="1484" spans="1:9" x14ac:dyDescent="0.2">
      <c r="A1484" s="68">
        <v>159</v>
      </c>
      <c r="B1484" s="56">
        <f>Obv!C16</f>
        <v>5</v>
      </c>
      <c r="C1484" s="56">
        <f>Obv!D16</f>
        <v>553372</v>
      </c>
      <c r="D1484" s="56">
        <v>0</v>
      </c>
      <c r="E1484" s="56">
        <v>0</v>
      </c>
      <c r="F1484" s="56">
        <v>0</v>
      </c>
      <c r="G1484" s="54">
        <f t="shared" si="55"/>
        <v>2766.86</v>
      </c>
      <c r="H1484" s="54">
        <f t="shared" si="56"/>
        <v>0</v>
      </c>
      <c r="I1484" s="55">
        <v>0</v>
      </c>
    </row>
    <row r="1485" spans="1:9" x14ac:dyDescent="0.2">
      <c r="A1485" s="68">
        <v>159</v>
      </c>
      <c r="B1485" s="56">
        <f>Obv!C17</f>
        <v>6</v>
      </c>
      <c r="C1485" s="56">
        <f>Obv!D17</f>
        <v>1947041</v>
      </c>
      <c r="D1485" s="56">
        <v>0</v>
      </c>
      <c r="E1485" s="56">
        <v>0</v>
      </c>
      <c r="F1485" s="56">
        <v>0</v>
      </c>
      <c r="G1485" s="54">
        <f t="shared" si="55"/>
        <v>11682.246000000001</v>
      </c>
      <c r="H1485" s="54">
        <f t="shared" si="56"/>
        <v>0</v>
      </c>
      <c r="I1485" s="55">
        <v>0</v>
      </c>
    </row>
    <row r="1486" spans="1:9" x14ac:dyDescent="0.2">
      <c r="A1486" s="68">
        <v>159</v>
      </c>
      <c r="B1486" s="56">
        <f>Obv!C18</f>
        <v>7</v>
      </c>
      <c r="C1486" s="56">
        <f>Obv!D18</f>
        <v>41018</v>
      </c>
      <c r="D1486" s="56">
        <v>0</v>
      </c>
      <c r="E1486" s="56">
        <v>0</v>
      </c>
      <c r="F1486" s="56">
        <v>0</v>
      </c>
      <c r="G1486" s="54">
        <f t="shared" si="55"/>
        <v>287.12600000000003</v>
      </c>
      <c r="H1486" s="54">
        <f t="shared" si="56"/>
        <v>0</v>
      </c>
      <c r="I1486" s="55">
        <v>0</v>
      </c>
    </row>
    <row r="1487" spans="1:9" x14ac:dyDescent="0.2">
      <c r="A1487" s="68">
        <v>159</v>
      </c>
      <c r="B1487" s="56">
        <f>Obv!C19</f>
        <v>8</v>
      </c>
      <c r="C1487" s="56">
        <f>Obv!D19</f>
        <v>5695</v>
      </c>
      <c r="D1487" s="56">
        <v>0</v>
      </c>
      <c r="E1487" s="56">
        <v>0</v>
      </c>
      <c r="F1487" s="56">
        <v>0</v>
      </c>
      <c r="G1487" s="54">
        <f t="shared" si="55"/>
        <v>45.56</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308203</v>
      </c>
      <c r="D1489" s="56">
        <v>0</v>
      </c>
      <c r="E1489" s="56">
        <v>0</v>
      </c>
      <c r="F1489" s="56">
        <v>0</v>
      </c>
      <c r="G1489" s="54">
        <f t="shared" si="55"/>
        <v>3082.03</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27178</v>
      </c>
      <c r="D1491" s="56">
        <v>0</v>
      </c>
      <c r="E1491" s="56">
        <v>0</v>
      </c>
      <c r="F1491" s="56">
        <v>0</v>
      </c>
      <c r="G1491" s="54">
        <f t="shared" si="55"/>
        <v>326.13600000000002</v>
      </c>
      <c r="H1491" s="54">
        <f t="shared" si="56"/>
        <v>0</v>
      </c>
      <c r="I1491" s="55">
        <v>0</v>
      </c>
    </row>
    <row r="1492" spans="1:9" x14ac:dyDescent="0.2">
      <c r="A1492" s="68">
        <v>159</v>
      </c>
      <c r="B1492" s="56">
        <f>Obv!C24</f>
        <v>13</v>
      </c>
      <c r="C1492" s="56">
        <f>Obv!D24</f>
        <v>3576873</v>
      </c>
      <c r="D1492" s="56">
        <v>0</v>
      </c>
      <c r="E1492" s="56">
        <v>0</v>
      </c>
      <c r="F1492" s="56">
        <v>0</v>
      </c>
      <c r="G1492" s="54">
        <f t="shared" si="55"/>
        <v>46499.348999999995</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5626464</v>
      </c>
      <c r="D1499" s="56">
        <v>0</v>
      </c>
      <c r="E1499" s="56">
        <v>0</v>
      </c>
      <c r="F1499" s="56">
        <v>0</v>
      </c>
      <c r="G1499" s="54">
        <f t="shared" si="55"/>
        <v>112529.28</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2950359</v>
      </c>
      <c r="D1501" s="56">
        <v>0</v>
      </c>
      <c r="E1501" s="56">
        <v>0</v>
      </c>
      <c r="F1501" s="56">
        <v>0</v>
      </c>
      <c r="G1501" s="54">
        <f t="shared" si="55"/>
        <v>64907.897999999994</v>
      </c>
      <c r="H1501" s="54">
        <f t="shared" si="56"/>
        <v>0</v>
      </c>
      <c r="I1501" s="55">
        <v>0</v>
      </c>
    </row>
    <row r="1502" spans="1:9" x14ac:dyDescent="0.2">
      <c r="A1502" s="68">
        <v>159</v>
      </c>
      <c r="B1502" s="56">
        <f>Obv!C34</f>
        <v>23</v>
      </c>
      <c r="C1502" s="56">
        <f>Obv!D34</f>
        <v>632337</v>
      </c>
      <c r="D1502" s="56">
        <v>0</v>
      </c>
      <c r="E1502" s="56">
        <v>0</v>
      </c>
      <c r="F1502" s="56">
        <v>0</v>
      </c>
      <c r="G1502" s="54">
        <f t="shared" si="55"/>
        <v>14543.751</v>
      </c>
      <c r="H1502" s="54">
        <f t="shared" si="56"/>
        <v>0</v>
      </c>
      <c r="I1502" s="55">
        <v>0</v>
      </c>
    </row>
    <row r="1503" spans="1:9" x14ac:dyDescent="0.2">
      <c r="A1503" s="68">
        <v>159</v>
      </c>
      <c r="B1503" s="56">
        <f>Obv!C35</f>
        <v>24</v>
      </c>
      <c r="C1503" s="56">
        <f>Obv!D35</f>
        <v>1915437</v>
      </c>
      <c r="D1503" s="56">
        <v>0</v>
      </c>
      <c r="E1503" s="56">
        <v>0</v>
      </c>
      <c r="F1503" s="56">
        <v>0</v>
      </c>
      <c r="G1503" s="54">
        <f t="shared" si="55"/>
        <v>45970.487999999998</v>
      </c>
      <c r="H1503" s="54">
        <f t="shared" si="56"/>
        <v>0</v>
      </c>
      <c r="I1503" s="55">
        <v>0</v>
      </c>
    </row>
    <row r="1504" spans="1:9" x14ac:dyDescent="0.2">
      <c r="A1504" s="68">
        <v>159</v>
      </c>
      <c r="B1504" s="56">
        <f>Obv!C36</f>
        <v>25</v>
      </c>
      <c r="C1504" s="56">
        <f>Obv!D36</f>
        <v>39186</v>
      </c>
      <c r="D1504" s="56">
        <v>0</v>
      </c>
      <c r="E1504" s="56">
        <v>0</v>
      </c>
      <c r="F1504" s="56">
        <v>0</v>
      </c>
      <c r="G1504" s="54">
        <f t="shared" si="55"/>
        <v>979.65000000000009</v>
      </c>
      <c r="H1504" s="54">
        <f t="shared" si="56"/>
        <v>0</v>
      </c>
      <c r="I1504" s="55">
        <v>0</v>
      </c>
    </row>
    <row r="1505" spans="1:9" x14ac:dyDescent="0.2">
      <c r="A1505" s="68">
        <v>159</v>
      </c>
      <c r="B1505" s="56">
        <f>Obv!C37</f>
        <v>26</v>
      </c>
      <c r="C1505" s="56">
        <f>Obv!D37</f>
        <v>5695</v>
      </c>
      <c r="D1505" s="56">
        <v>0</v>
      </c>
      <c r="E1505" s="56">
        <v>0</v>
      </c>
      <c r="F1505" s="56">
        <v>0</v>
      </c>
      <c r="G1505" s="54">
        <f t="shared" si="55"/>
        <v>148.07</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306526</v>
      </c>
      <c r="D1507" s="56">
        <v>0</v>
      </c>
      <c r="E1507" s="56">
        <v>0</v>
      </c>
      <c r="F1507" s="56">
        <v>0</v>
      </c>
      <c r="G1507" s="54">
        <f t="shared" si="55"/>
        <v>8582.728000000001</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51178</v>
      </c>
      <c r="D1509" s="56">
        <v>0</v>
      </c>
      <c r="E1509" s="56">
        <v>0</v>
      </c>
      <c r="F1509" s="56">
        <v>0</v>
      </c>
      <c r="G1509" s="54">
        <f t="shared" si="55"/>
        <v>1535.34</v>
      </c>
      <c r="H1509" s="54">
        <f t="shared" si="56"/>
        <v>0</v>
      </c>
      <c r="I1509" s="55">
        <v>0</v>
      </c>
    </row>
    <row r="1510" spans="1:9" x14ac:dyDescent="0.2">
      <c r="A1510" s="68">
        <v>159</v>
      </c>
      <c r="B1510" s="56">
        <f>Obv!C42</f>
        <v>31</v>
      </c>
      <c r="C1510" s="56">
        <f>Obv!D42</f>
        <v>2676105</v>
      </c>
      <c r="D1510" s="56">
        <v>0</v>
      </c>
      <c r="E1510" s="56">
        <v>0</v>
      </c>
      <c r="F1510" s="56">
        <v>0</v>
      </c>
      <c r="G1510" s="54">
        <f t="shared" si="55"/>
        <v>82959.255000000005</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1046809</v>
      </c>
      <c r="D1517" s="56">
        <v>0</v>
      </c>
      <c r="E1517" s="56">
        <v>0</v>
      </c>
      <c r="F1517" s="56">
        <v>0</v>
      </c>
      <c r="G1517" s="54">
        <f t="shared" si="57"/>
        <v>39778.741999999998</v>
      </c>
      <c r="H1517" s="54">
        <f t="shared" si="58"/>
        <v>0</v>
      </c>
      <c r="I1517" s="55">
        <v>0</v>
      </c>
    </row>
    <row r="1518" spans="1:9" x14ac:dyDescent="0.2">
      <c r="A1518" s="68">
        <v>159</v>
      </c>
      <c r="B1518" s="56">
        <f>Obv!C50</f>
        <v>39</v>
      </c>
      <c r="C1518" s="56">
        <f>Obv!D50</f>
        <v>5097</v>
      </c>
      <c r="D1518" s="56">
        <v>0</v>
      </c>
      <c r="E1518" s="56">
        <v>0</v>
      </c>
      <c r="F1518" s="56">
        <v>0</v>
      </c>
      <c r="G1518" s="54">
        <f t="shared" si="57"/>
        <v>198.78299999999999</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5097</v>
      </c>
      <c r="D1524" s="56">
        <v>0</v>
      </c>
      <c r="E1524" s="56">
        <v>0</v>
      </c>
      <c r="F1524" s="56">
        <v>0</v>
      </c>
      <c r="G1524" s="54">
        <f t="shared" si="57"/>
        <v>229.36499999999998</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5097</v>
      </c>
      <c r="D1530" s="56">
        <v>0</v>
      </c>
      <c r="E1530" s="56">
        <v>0</v>
      </c>
      <c r="F1530" s="56">
        <v>0</v>
      </c>
      <c r="G1530" s="54">
        <f t="shared" si="57"/>
        <v>259.947</v>
      </c>
      <c r="H1530" s="54">
        <f t="shared" si="58"/>
        <v>0</v>
      </c>
      <c r="I1530" s="55">
        <v>0</v>
      </c>
    </row>
    <row r="1531" spans="1:9" x14ac:dyDescent="0.2">
      <c r="A1531" s="68">
        <v>159</v>
      </c>
      <c r="B1531" s="56">
        <f>Obv!C63</f>
        <v>52</v>
      </c>
      <c r="C1531" s="56">
        <f>Obv!D63</f>
        <v>5097</v>
      </c>
      <c r="D1531" s="56">
        <v>0</v>
      </c>
      <c r="E1531" s="56">
        <v>0</v>
      </c>
      <c r="F1531" s="56">
        <v>0</v>
      </c>
      <c r="G1531" s="54">
        <f t="shared" si="57"/>
        <v>265.04399999999998</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1041711</v>
      </c>
      <c r="D1576" s="56">
        <v>0</v>
      </c>
      <c r="E1576" s="56">
        <v>0</v>
      </c>
      <c r="F1576" s="56">
        <v>0</v>
      </c>
      <c r="G1576" s="54">
        <f t="shared" si="59"/>
        <v>101045.967</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139828</v>
      </c>
      <c r="D1578" s="56">
        <v>0</v>
      </c>
      <c r="E1578" s="56">
        <v>0</v>
      </c>
      <c r="F1578" s="56">
        <v>0</v>
      </c>
      <c r="G1578" s="54">
        <f t="shared" si="59"/>
        <v>13842.972</v>
      </c>
      <c r="H1578" s="54">
        <f t="shared" si="60"/>
        <v>0</v>
      </c>
      <c r="I1578" s="55">
        <v>0</v>
      </c>
    </row>
    <row r="1579" spans="1:9" x14ac:dyDescent="0.2">
      <c r="A1579" s="68">
        <v>159</v>
      </c>
      <c r="B1579" s="56">
        <f>Obv!C111</f>
        <v>100</v>
      </c>
      <c r="C1579" s="56">
        <f>Obv!D111</f>
        <v>901883</v>
      </c>
      <c r="D1579" s="56">
        <v>0</v>
      </c>
      <c r="E1579" s="56">
        <v>0</v>
      </c>
      <c r="F1579" s="56">
        <v>0</v>
      </c>
      <c r="G1579" s="54">
        <f t="shared" si="59"/>
        <v>90188.3</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6"/>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10" t="s">
        <v>1879</v>
      </c>
    </row>
    <row r="2" spans="2:2" ht="18" x14ac:dyDescent="0.25">
      <c r="B2" s="76" t="s">
        <v>321</v>
      </c>
    </row>
    <row r="3" spans="2:2" x14ac:dyDescent="0.2">
      <c r="B3" s="209" t="str">
        <f xml:space="preserve"> "Ver. " &amp; MID(Skriveni!K31,1,1) &amp; "." &amp; MID(Skriveni!K31,2,1) &amp; "." &amp; MID(Skriveni!K31,3,1) &amp; "."</f>
        <v>Ver. 7.0.1.</v>
      </c>
    </row>
    <row r="4" spans="2:2" ht="55.5" customHeight="1" x14ac:dyDescent="0.2">
      <c r="B4" s="370" t="s">
        <v>456</v>
      </c>
    </row>
    <row r="5" spans="2:2" ht="69" customHeight="1" thickBot="1" x14ac:dyDescent="0.25">
      <c r="B5" s="84" t="s">
        <v>0</v>
      </c>
    </row>
    <row r="6" spans="2:2" ht="34.5" customHeight="1" x14ac:dyDescent="0.2">
      <c r="B6" s="79" t="s">
        <v>1</v>
      </c>
    </row>
    <row r="7" spans="2:2" ht="30" customHeight="1" x14ac:dyDescent="0.2">
      <c r="B7" s="79" t="s">
        <v>3193</v>
      </c>
    </row>
    <row r="8" spans="2:2" ht="87" customHeight="1" x14ac:dyDescent="0.2">
      <c r="B8" s="79" t="s">
        <v>873</v>
      </c>
    </row>
    <row r="9" spans="2:2" ht="50.25" customHeight="1" x14ac:dyDescent="0.2">
      <c r="B9" s="79" t="s">
        <v>874</v>
      </c>
    </row>
    <row r="10" spans="2:2" ht="15.75" customHeight="1" x14ac:dyDescent="0.2">
      <c r="B10" s="124" t="s">
        <v>2681</v>
      </c>
    </row>
    <row r="11" spans="2:2" ht="99.75" customHeight="1" x14ac:dyDescent="0.2">
      <c r="B11" s="80" t="s">
        <v>1954</v>
      </c>
    </row>
    <row r="12" spans="2:2" ht="80.25" customHeight="1" x14ac:dyDescent="0.2">
      <c r="B12" s="79" t="s">
        <v>2360</v>
      </c>
    </row>
    <row r="13" spans="2:2" ht="56.25" customHeight="1" x14ac:dyDescent="0.2">
      <c r="B13" s="79" t="s">
        <v>2915</v>
      </c>
    </row>
    <row r="14" spans="2:2" ht="73.5" customHeight="1" x14ac:dyDescent="0.2">
      <c r="B14" s="81" t="s">
        <v>1831</v>
      </c>
    </row>
    <row r="15" spans="2:2" ht="42.75" customHeight="1" x14ac:dyDescent="0.2">
      <c r="B15" s="79" t="s">
        <v>3232</v>
      </c>
    </row>
    <row r="16" spans="2:2" ht="66" customHeight="1" x14ac:dyDescent="0.2">
      <c r="B16" s="81" t="s">
        <v>1717</v>
      </c>
    </row>
    <row r="17" spans="2:2" ht="87" customHeight="1" x14ac:dyDescent="0.2">
      <c r="B17" s="82" t="s">
        <v>2</v>
      </c>
    </row>
    <row r="18" spans="2:2" ht="53.25" customHeight="1" x14ac:dyDescent="0.2">
      <c r="B18" s="79" t="s">
        <v>2027</v>
      </c>
    </row>
    <row r="19" spans="2:2" ht="53.25" customHeight="1" x14ac:dyDescent="0.2">
      <c r="B19" s="81" t="s">
        <v>1866</v>
      </c>
    </row>
    <row r="20" spans="2:2" ht="53.25" customHeight="1" x14ac:dyDescent="0.2">
      <c r="B20" s="81" t="s">
        <v>1999</v>
      </c>
    </row>
    <row r="21" spans="2:2" ht="43.5" customHeight="1" x14ac:dyDescent="0.2">
      <c r="B21" s="81" t="s">
        <v>2202</v>
      </c>
    </row>
    <row r="22" spans="2:2" ht="74.25" customHeight="1" x14ac:dyDescent="0.2">
      <c r="B22" s="82" t="s">
        <v>3038</v>
      </c>
    </row>
    <row r="23" spans="2:2" ht="102" customHeight="1" x14ac:dyDescent="0.2">
      <c r="B23" s="79" t="s">
        <v>2318</v>
      </c>
    </row>
    <row r="24" spans="2:2" ht="53.25" customHeight="1" x14ac:dyDescent="0.2">
      <c r="B24" s="207" t="s">
        <v>3479</v>
      </c>
    </row>
    <row r="25" spans="2:2" ht="34.5" customHeight="1" x14ac:dyDescent="0.2">
      <c r="B25" s="83" t="s">
        <v>457</v>
      </c>
    </row>
    <row r="26" spans="2:2" ht="5.0999999999999996" customHeight="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0" activePane="bottomLeft" state="frozen"/>
      <selection pane="bottomLeft" activeCell="B6" sqref="B6"/>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12" t="s">
        <v>3983</v>
      </c>
      <c r="B1" s="413"/>
      <c r="C1" s="390" t="s">
        <v>2994</v>
      </c>
      <c r="D1" s="390"/>
      <c r="E1" s="390" t="s">
        <v>2995</v>
      </c>
      <c r="F1" s="390"/>
      <c r="G1" s="390" t="s">
        <v>2996</v>
      </c>
      <c r="H1" s="390"/>
      <c r="I1" s="390"/>
      <c r="J1" s="390" t="s">
        <v>1764</v>
      </c>
      <c r="K1" s="391"/>
    </row>
    <row r="2" spans="1:14" ht="24.95" customHeight="1" x14ac:dyDescent="0.2">
      <c r="A2" s="371"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72"/>
      <c r="C2" s="372"/>
      <c r="D2" s="372"/>
      <c r="E2" s="372"/>
      <c r="F2" s="372"/>
      <c r="G2" s="372"/>
      <c r="H2" s="372"/>
      <c r="I2" s="372"/>
      <c r="J2" s="372"/>
      <c r="K2" s="372"/>
      <c r="N2" s="1" t="e">
        <f ca="1" xml:space="preserve"> CELL("filename")</f>
        <v>#N/A</v>
      </c>
    </row>
    <row r="3" spans="1:14" ht="32.1" customHeight="1" x14ac:dyDescent="0.2">
      <c r="B3" s="3"/>
      <c r="C3" s="3"/>
      <c r="D3" s="3"/>
      <c r="E3" s="3"/>
      <c r="F3" s="3"/>
      <c r="G3" s="3"/>
      <c r="H3" s="90">
        <f>LOOKUP(B22,A111:A667,C111:C667)</f>
        <v>6</v>
      </c>
      <c r="I3" s="3"/>
      <c r="J3" s="397" t="s">
        <v>132</v>
      </c>
      <c r="K3" s="397"/>
      <c r="N3" s="1" t="e">
        <f ca="1">FIND("xlsx",N2,3)</f>
        <v>#N/A</v>
      </c>
    </row>
    <row r="4" spans="1:14" ht="35.1" customHeight="1" x14ac:dyDescent="0.4">
      <c r="A4" s="381" t="s">
        <v>2573</v>
      </c>
      <c r="B4" s="381"/>
      <c r="C4" s="381"/>
      <c r="D4" s="381"/>
      <c r="E4" s="381"/>
      <c r="F4" s="381"/>
      <c r="G4" s="381"/>
      <c r="H4" s="381"/>
      <c r="I4" s="381"/>
      <c r="J4" s="381"/>
      <c r="K4" s="381"/>
    </row>
    <row r="5" spans="1:14" ht="39.950000000000003" customHeight="1" x14ac:dyDescent="0.2">
      <c r="A5" s="385" t="str">
        <f>IF(AND(K10&lt;&gt;"",K12&lt;&gt;""), "za razdoblje: " &amp; TEXT(K10, "d. mmmm yyyy.") &amp; "   –   " &amp; TEXT(K12, "d. mmmm yyyy."),"za razdoblje od ________________ do ______________")</f>
        <v>za razdoblje: 1. siječanj 2021.   –   30. rujan 2021.</v>
      </c>
      <c r="B5" s="385"/>
      <c r="C5" s="385"/>
      <c r="D5" s="385"/>
      <c r="E5" s="385"/>
      <c r="F5" s="385"/>
      <c r="G5" s="385"/>
      <c r="H5" s="385"/>
      <c r="I5" s="385"/>
      <c r="J5" s="385"/>
      <c r="K5" s="385"/>
    </row>
    <row r="6" spans="1:14" ht="15" customHeight="1" x14ac:dyDescent="0.2">
      <c r="A6" s="18" t="s">
        <v>484</v>
      </c>
      <c r="B6" s="22">
        <v>27861</v>
      </c>
      <c r="C6" s="8"/>
      <c r="D6" s="410" t="s">
        <v>488</v>
      </c>
      <c r="E6" s="411"/>
      <c r="F6" s="11" t="s">
        <v>3769</v>
      </c>
      <c r="G6" s="8"/>
      <c r="H6" s="8"/>
      <c r="I6" s="8"/>
      <c r="J6" s="395">
        <f>SUM(Skriveni!G2:G1580)</f>
        <v>117427689.71500005</v>
      </c>
      <c r="K6" s="395"/>
    </row>
    <row r="7" spans="1:14" ht="3" customHeight="1" x14ac:dyDescent="0.2">
      <c r="A7" s="8"/>
      <c r="B7" s="8"/>
      <c r="C7" s="8"/>
      <c r="D7" s="8"/>
      <c r="E7" s="8"/>
      <c r="F7" s="8"/>
      <c r="G7" s="8"/>
      <c r="H7" s="8"/>
      <c r="I7" s="8"/>
      <c r="J7" s="8"/>
      <c r="K7" s="8"/>
    </row>
    <row r="8" spans="1:14" ht="15" customHeight="1" x14ac:dyDescent="0.2">
      <c r="A8" s="18" t="s">
        <v>485</v>
      </c>
      <c r="B8" s="23">
        <v>2546566</v>
      </c>
      <c r="C8" s="375" t="s">
        <v>3315</v>
      </c>
      <c r="D8" s="376"/>
      <c r="E8" s="376"/>
      <c r="F8" s="376"/>
      <c r="G8" s="376"/>
      <c r="H8" s="377"/>
      <c r="I8" s="122" t="s">
        <v>1880</v>
      </c>
      <c r="J8" s="396" t="s">
        <v>492</v>
      </c>
      <c r="K8" s="396"/>
    </row>
    <row r="9" spans="1:14" ht="3" customHeight="1" x14ac:dyDescent="0.2">
      <c r="A9" s="8"/>
      <c r="B9" s="8"/>
      <c r="C9" s="8"/>
      <c r="D9" s="8"/>
      <c r="E9" s="8"/>
      <c r="F9" s="8"/>
      <c r="G9" s="8"/>
      <c r="H9" s="8"/>
      <c r="I9" s="8"/>
      <c r="J9" s="8"/>
      <c r="K9" s="8"/>
    </row>
    <row r="10" spans="1:14" ht="15" customHeight="1" x14ac:dyDescent="0.2">
      <c r="A10" s="18" t="s">
        <v>486</v>
      </c>
      <c r="B10" s="417" t="s">
        <v>4314</v>
      </c>
      <c r="C10" s="418"/>
      <c r="D10" s="418"/>
      <c r="E10" s="418"/>
      <c r="F10" s="418"/>
      <c r="G10" s="418"/>
      <c r="H10" s="418"/>
      <c r="I10" s="419"/>
      <c r="J10" s="18" t="s">
        <v>2010</v>
      </c>
      <c r="K10" s="75">
        <v>44197</v>
      </c>
    </row>
    <row r="11" spans="1:14" ht="3" customHeight="1" x14ac:dyDescent="0.2">
      <c r="A11" s="8"/>
      <c r="B11" s="8"/>
      <c r="C11" s="8"/>
      <c r="D11" s="8"/>
      <c r="E11" s="8"/>
      <c r="F11" s="8"/>
      <c r="G11" s="8"/>
      <c r="H11" s="8"/>
      <c r="I11" s="8"/>
      <c r="J11" s="8"/>
      <c r="K11" s="8"/>
    </row>
    <row r="12" spans="1:14" ht="15" customHeight="1" x14ac:dyDescent="0.2">
      <c r="A12" s="18" t="s">
        <v>4294</v>
      </c>
      <c r="B12" s="24">
        <v>48356</v>
      </c>
      <c r="C12" s="382" t="s">
        <v>4315</v>
      </c>
      <c r="D12" s="383"/>
      <c r="E12" s="383"/>
      <c r="F12" s="383"/>
      <c r="G12" s="384"/>
      <c r="H12" s="8"/>
      <c r="I12" s="8"/>
      <c r="J12" s="18" t="s">
        <v>2011</v>
      </c>
      <c r="K12" s="75">
        <v>44469</v>
      </c>
    </row>
    <row r="13" spans="1:14" ht="3" customHeight="1" x14ac:dyDescent="0.2">
      <c r="A13" s="8"/>
      <c r="B13" s="8"/>
      <c r="C13" s="8"/>
      <c r="D13" s="8"/>
      <c r="E13" s="8"/>
      <c r="F13" s="8"/>
      <c r="G13" s="8"/>
      <c r="H13" s="8"/>
      <c r="I13" s="8"/>
      <c r="J13" s="8"/>
      <c r="K13" s="8"/>
    </row>
    <row r="14" spans="1:14" ht="15" customHeight="1" x14ac:dyDescent="0.2">
      <c r="A14" s="18" t="s">
        <v>487</v>
      </c>
      <c r="B14" s="392" t="s">
        <v>4316</v>
      </c>
      <c r="C14" s="393"/>
      <c r="D14" s="393"/>
      <c r="E14" s="393"/>
      <c r="F14" s="393"/>
      <c r="G14" s="394"/>
      <c r="H14" s="8"/>
      <c r="I14" s="8"/>
      <c r="J14" s="18" t="s">
        <v>856</v>
      </c>
      <c r="K14" s="41">
        <v>49223263989</v>
      </c>
    </row>
    <row r="15" spans="1:14" ht="3" customHeight="1" x14ac:dyDescent="0.2">
      <c r="A15" s="8"/>
      <c r="B15" s="8"/>
      <c r="C15" s="8"/>
      <c r="D15" s="8"/>
      <c r="E15" s="8"/>
      <c r="F15" s="8"/>
      <c r="G15" s="8"/>
      <c r="H15" s="8"/>
      <c r="I15" s="8"/>
      <c r="J15" s="8"/>
      <c r="K15" s="8"/>
    </row>
    <row r="16" spans="1:14" ht="15" customHeight="1" x14ac:dyDescent="0.2">
      <c r="A16" s="18" t="s">
        <v>490</v>
      </c>
      <c r="B16" s="10">
        <v>22</v>
      </c>
      <c r="C16" s="388" t="str">
        <f>IF(B16&gt;0,LOOKUP(B16,A70:A78,B70:B78),"Razina nije upisana")</f>
        <v>Proračun jedinice lokalne i područne (regionalne) samouprave</v>
      </c>
      <c r="D16" s="389"/>
      <c r="E16" s="389"/>
      <c r="F16" s="389"/>
      <c r="G16" s="389"/>
      <c r="H16" s="389"/>
      <c r="I16" s="389"/>
      <c r="J16" s="389"/>
      <c r="K16" s="389"/>
    </row>
    <row r="17" spans="1:11" ht="3" customHeight="1" x14ac:dyDescent="0.2">
      <c r="A17" s="9"/>
      <c r="B17" s="8"/>
      <c r="C17" s="123"/>
      <c r="D17" s="123"/>
      <c r="E17" s="123"/>
      <c r="F17" s="123"/>
      <c r="G17" s="123"/>
      <c r="H17" s="123"/>
      <c r="I17" s="123"/>
      <c r="J17" s="123"/>
      <c r="K17" s="123"/>
    </row>
    <row r="18" spans="1:11" ht="15" customHeight="1" x14ac:dyDescent="0.2">
      <c r="A18" s="18" t="s">
        <v>489</v>
      </c>
      <c r="B18" s="25">
        <v>8411</v>
      </c>
      <c r="C18" s="388" t="str">
        <f xml:space="preserve"> IF(VALUE(B18)&gt;0,LOOKUP(B18,Sifre!A253:A867,Sifre!B253:B867),"Djelatnost nije upisana")</f>
        <v>Opće djelatnosti javne uprave</v>
      </c>
      <c r="D18" s="389"/>
      <c r="E18" s="389"/>
      <c r="F18" s="389"/>
      <c r="G18" s="389"/>
      <c r="H18" s="389"/>
      <c r="I18" s="389"/>
      <c r="J18" s="389"/>
      <c r="K18" s="389"/>
    </row>
    <row r="19" spans="1:11" ht="3" customHeight="1" x14ac:dyDescent="0.2">
      <c r="A19" s="9"/>
      <c r="B19" s="8"/>
      <c r="C19" s="123"/>
      <c r="D19" s="123"/>
      <c r="E19" s="123"/>
      <c r="F19" s="123"/>
      <c r="G19" s="123"/>
      <c r="H19" s="123"/>
      <c r="I19" s="123"/>
      <c r="J19" s="123"/>
      <c r="K19" s="123"/>
    </row>
    <row r="20" spans="1:11" ht="15" customHeight="1" x14ac:dyDescent="0.2">
      <c r="A20" s="18" t="s">
        <v>491</v>
      </c>
      <c r="B20" s="26">
        <v>0</v>
      </c>
      <c r="C20" s="388" t="str">
        <f>IF(B20&lt;&gt;"","Razdjel: " &amp; LOOKUP(B20,A670:A722,B670:B722),"Razdjel nije upisan")</f>
        <v>Razdjel: NEMA RAZDJELA</v>
      </c>
      <c r="D20" s="389"/>
      <c r="E20" s="389"/>
      <c r="F20" s="389"/>
      <c r="G20" s="389"/>
      <c r="H20" s="389"/>
      <c r="I20" s="389"/>
      <c r="J20" s="389"/>
      <c r="K20" s="389"/>
    </row>
    <row r="21" spans="1:11" ht="3" customHeight="1" x14ac:dyDescent="0.2">
      <c r="A21" s="9"/>
      <c r="B21" s="8"/>
      <c r="C21" s="123"/>
      <c r="D21" s="123"/>
      <c r="E21" s="123"/>
      <c r="F21" s="123"/>
      <c r="G21" s="123"/>
      <c r="H21" s="123"/>
      <c r="I21" s="123"/>
      <c r="J21" s="123"/>
      <c r="K21" s="123"/>
    </row>
    <row r="22" spans="1:11" ht="15" customHeight="1" x14ac:dyDescent="0.2">
      <c r="A22" s="50" t="s">
        <v>2574</v>
      </c>
      <c r="B22" s="27">
        <v>115</v>
      </c>
      <c r="C22" s="388" t="str">
        <f>IF(B22&gt;0, "Županija: " &amp; LOOKUP(H3,A87:A107,B87:B107) &amp; ", grad/općina: " &amp; LOOKUP(B22,A111:A667,B111:B667),"Šifra grada/općine nije upisana")</f>
        <v>Županija: KOPRIVNIČKO-KRIŽEVAČKA, grad/općina: FERDINANDOVAC</v>
      </c>
      <c r="D22" s="389"/>
      <c r="E22" s="389"/>
      <c r="F22" s="389"/>
      <c r="G22" s="389"/>
      <c r="H22" s="389"/>
      <c r="I22" s="389"/>
      <c r="J22" s="389"/>
      <c r="K22" s="389"/>
    </row>
    <row r="23" spans="1:11" ht="3" customHeight="1" x14ac:dyDescent="0.2">
      <c r="A23" s="9"/>
      <c r="B23" s="8"/>
      <c r="C23" s="8"/>
      <c r="D23" s="8"/>
      <c r="E23" s="8"/>
      <c r="F23" s="8"/>
      <c r="G23" s="8"/>
      <c r="H23" s="8"/>
      <c r="I23" s="8"/>
      <c r="J23" s="8"/>
      <c r="K23" s="8"/>
    </row>
    <row r="24" spans="1:11" ht="9.9499999999999993" customHeight="1" x14ac:dyDescent="0.2">
      <c r="A24" s="9"/>
      <c r="B24" s="78" t="s">
        <v>2020</v>
      </c>
      <c r="C24" s="8"/>
      <c r="D24" s="425" t="s">
        <v>566</v>
      </c>
      <c r="E24" s="426"/>
      <c r="F24" s="426"/>
      <c r="G24" s="8"/>
      <c r="H24" s="8"/>
      <c r="I24" s="8"/>
      <c r="J24" s="8"/>
      <c r="K24" s="8"/>
    </row>
    <row r="25" spans="1:11" ht="15" customHeight="1" x14ac:dyDescent="0.2">
      <c r="A25" s="378" t="s">
        <v>1477</v>
      </c>
      <c r="B25" s="35" t="str">
        <f>IF(SUM(Skriveni!C2:F645)=0,"NE", "DA")</f>
        <v>DA</v>
      </c>
      <c r="C25" s="373" t="s">
        <v>4292</v>
      </c>
      <c r="D25" s="427"/>
      <c r="E25" s="77" t="str">
        <f>IF(AND(B25="DA",Kont!E23&gt;0),Kont!E23,"Nema")</f>
        <v>Nema</v>
      </c>
      <c r="F25" s="8"/>
      <c r="G25" s="18" t="s">
        <v>2252</v>
      </c>
      <c r="H25" s="386" t="s">
        <v>4317</v>
      </c>
      <c r="I25" s="424"/>
      <c r="J25" s="424"/>
      <c r="K25" s="387"/>
    </row>
    <row r="26" spans="1:11" ht="3" customHeight="1" x14ac:dyDescent="0.2">
      <c r="A26" s="379"/>
      <c r="B26" s="28"/>
      <c r="C26" s="29"/>
      <c r="D26" s="30"/>
      <c r="E26" s="31"/>
      <c r="G26" s="9"/>
      <c r="H26" s="8"/>
      <c r="I26" s="8"/>
      <c r="J26" s="8"/>
      <c r="K26" s="8"/>
    </row>
    <row r="27" spans="1:11" ht="15" customHeight="1" x14ac:dyDescent="0.2">
      <c r="A27" s="379"/>
      <c r="B27" s="35" t="str">
        <f>IF(SUM(Skriveni!C984:D1241)&lt;&gt;0,"DA","NE")</f>
        <v>NE</v>
      </c>
      <c r="C27" s="373" t="s">
        <v>1085</v>
      </c>
      <c r="D27" s="374"/>
      <c r="E27" s="77" t="str">
        <f>IF(AND(B27="DA",Kont!E275&gt;0),Kont!E275,"Nema")</f>
        <v>Nema</v>
      </c>
      <c r="F27" s="8"/>
      <c r="G27" s="18" t="s">
        <v>2253</v>
      </c>
      <c r="H27" s="386" t="s">
        <v>4318</v>
      </c>
      <c r="I27" s="387"/>
      <c r="J27" s="9" t="s">
        <v>1472</v>
      </c>
      <c r="K27" s="11" t="s">
        <v>4319</v>
      </c>
    </row>
    <row r="28" spans="1:11" ht="3" customHeight="1" x14ac:dyDescent="0.2">
      <c r="A28" s="379"/>
      <c r="F28" s="8"/>
      <c r="G28" s="8"/>
      <c r="H28" s="8"/>
      <c r="I28" s="8"/>
      <c r="J28" s="8"/>
      <c r="K28" s="8"/>
    </row>
    <row r="29" spans="1:11" ht="15" customHeight="1" x14ac:dyDescent="0.2">
      <c r="A29" s="379"/>
      <c r="B29" s="35" t="str">
        <f>IF(SUM(Skriveni!C1299:D1434)&lt;&gt;0,"DA","NE")</f>
        <v>NE</v>
      </c>
      <c r="C29" s="403" t="s">
        <v>4293</v>
      </c>
      <c r="D29" s="404"/>
      <c r="E29" s="77" t="str">
        <f>IF(AND(B29="DA",Kont!E302&gt;0),Kont!E302,"Nema")</f>
        <v>Nema</v>
      </c>
      <c r="F29" s="8"/>
      <c r="G29" s="18" t="s">
        <v>1473</v>
      </c>
      <c r="H29" s="399" t="s">
        <v>4320</v>
      </c>
      <c r="I29" s="400"/>
      <c r="J29" s="400"/>
      <c r="K29" s="401"/>
    </row>
    <row r="30" spans="1:11" ht="3" customHeight="1" x14ac:dyDescent="0.2">
      <c r="A30" s="379"/>
      <c r="B30" s="28"/>
      <c r="C30" s="29"/>
      <c r="D30" s="30"/>
      <c r="E30" s="31"/>
      <c r="F30" s="8"/>
      <c r="G30" s="8"/>
      <c r="H30" s="8"/>
      <c r="I30" s="8"/>
      <c r="J30" s="8"/>
      <c r="K30" s="8"/>
    </row>
    <row r="31" spans="1:11" ht="15" customHeight="1" x14ac:dyDescent="0.2">
      <c r="A31" s="379"/>
      <c r="B31" s="125" t="s">
        <v>1880</v>
      </c>
      <c r="C31" s="373" t="s">
        <v>1592</v>
      </c>
      <c r="D31" s="374"/>
      <c r="E31" s="77" t="str">
        <f>IF(Kont!E298&gt;0,Kont!E298,"Nema")</f>
        <v>Nema</v>
      </c>
      <c r="F31" s="8"/>
      <c r="G31" s="9" t="s">
        <v>1474</v>
      </c>
      <c r="H31" s="399" t="s">
        <v>4320</v>
      </c>
      <c r="I31" s="400"/>
      <c r="J31" s="400"/>
      <c r="K31" s="401"/>
    </row>
    <row r="32" spans="1:11" ht="3" customHeight="1" x14ac:dyDescent="0.2">
      <c r="A32" s="379"/>
      <c r="B32" s="28"/>
      <c r="C32" s="29"/>
      <c r="D32" s="30"/>
      <c r="E32" s="31"/>
      <c r="F32" s="8"/>
      <c r="G32" s="8"/>
      <c r="H32" s="8"/>
      <c r="I32" s="8"/>
      <c r="J32" s="8"/>
      <c r="K32" s="8"/>
    </row>
    <row r="33" spans="1:11" ht="15" customHeight="1" x14ac:dyDescent="0.2">
      <c r="A33" s="380"/>
      <c r="B33" s="35" t="str">
        <f>IF(SUM(Skriveni!C1480:C1569)&lt;&gt;0,"DA","NE")</f>
        <v>DA</v>
      </c>
      <c r="C33" s="408" t="s">
        <v>3869</v>
      </c>
      <c r="D33" s="409"/>
      <c r="E33" s="77" t="str">
        <f>IF(AND(B33="DA",Kont!E294&gt;0),Kont!E294,"Nema")</f>
        <v>Nema</v>
      </c>
      <c r="F33" s="8"/>
      <c r="G33" s="18" t="s">
        <v>3643</v>
      </c>
      <c r="H33" s="392" t="s">
        <v>4321</v>
      </c>
      <c r="I33" s="393"/>
      <c r="J33" s="393"/>
      <c r="K33" s="394"/>
    </row>
    <row r="34" spans="1:11" ht="3" customHeight="1" x14ac:dyDescent="0.2">
      <c r="A34" s="73"/>
      <c r="B34" s="74"/>
      <c r="F34" s="8"/>
      <c r="G34" s="8"/>
      <c r="H34" s="8"/>
      <c r="I34" s="8"/>
      <c r="J34" s="8"/>
      <c r="K34" s="8"/>
    </row>
    <row r="35" spans="1:11" ht="15" customHeight="1" x14ac:dyDescent="0.2">
      <c r="A35" s="73"/>
      <c r="B35" s="13"/>
      <c r="C35" s="13"/>
      <c r="D35" s="13"/>
      <c r="E35" s="13"/>
      <c r="F35" s="8"/>
      <c r="G35" s="36" t="s">
        <v>3273</v>
      </c>
      <c r="H35" s="405" t="str">
        <f>IF(ISERROR(Kont!E3),"Datoteka oštećena metodama Cut/Paste i neupotrebljiva",IF(Kont!E3&gt;0,"Izvještaj sadrži pogreške, broj pogrešaka: " &amp; Kont!E3,IF(J6=0,"Izvještaj je prazan","Izvještaj nema pogrešaka")))</f>
        <v>Izvještaj nema pogrešaka</v>
      </c>
      <c r="I35" s="406"/>
      <c r="J35" s="406"/>
      <c r="K35" s="407"/>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8"/>
      <c r="B38" s="402" t="s">
        <v>2993</v>
      </c>
      <c r="C38" s="402"/>
      <c r="D38" s="402"/>
      <c r="E38" s="402"/>
      <c r="F38" s="402"/>
      <c r="G38" s="402"/>
      <c r="H38" s="402"/>
      <c r="I38" s="219" t="s">
        <v>1401</v>
      </c>
      <c r="J38" s="96" t="s">
        <v>2923</v>
      </c>
      <c r="K38" s="97" t="s">
        <v>2924</v>
      </c>
    </row>
    <row r="39" spans="1:11" ht="12.95" customHeight="1" x14ac:dyDescent="0.2">
      <c r="A39" s="429" t="s">
        <v>131</v>
      </c>
      <c r="B39" s="398" t="str">
        <f>PRRAS!B12</f>
        <v xml:space="preserve">PRIHODI POSLOVANJA (AOP 002+039+045+077+101+119+128+134) </v>
      </c>
      <c r="C39" s="398"/>
      <c r="D39" s="398"/>
      <c r="E39" s="398"/>
      <c r="F39" s="398"/>
      <c r="G39" s="398"/>
      <c r="H39" s="398"/>
      <c r="I39" s="98">
        <f>PRRAS!C12</f>
        <v>1</v>
      </c>
      <c r="J39" s="99">
        <f>PRRAS!D12</f>
        <v>6071444</v>
      </c>
      <c r="K39" s="100">
        <f>PRRAS!E12</f>
        <v>5141176</v>
      </c>
    </row>
    <row r="40" spans="1:11" ht="12.95" customHeight="1" x14ac:dyDescent="0.2">
      <c r="A40" s="430"/>
      <c r="B40" s="420" t="str">
        <f>PRRAS!B157</f>
        <v>RASHODI POSLOVANJA (AOP 147+158+191+210+219+247+258)</v>
      </c>
      <c r="C40" s="421"/>
      <c r="D40" s="421"/>
      <c r="E40" s="421"/>
      <c r="F40" s="421"/>
      <c r="G40" s="421"/>
      <c r="H40" s="421"/>
      <c r="I40" s="101">
        <f>PRRAS!C157</f>
        <v>146</v>
      </c>
      <c r="J40" s="102">
        <f>PRRAS!D157</f>
        <v>3545839</v>
      </c>
      <c r="K40" s="103">
        <f>PRRAS!E157</f>
        <v>3383955</v>
      </c>
    </row>
    <row r="41" spans="1:11" ht="12.95" customHeight="1" x14ac:dyDescent="0.2">
      <c r="A41" s="430"/>
      <c r="B41" s="420" t="str">
        <f>PRRAS!B651</f>
        <v>Višak prihoda i primitaka raspoloživ u sljedećem razdoblju (AOP 634+636-635-637)</v>
      </c>
      <c r="C41" s="421"/>
      <c r="D41" s="421"/>
      <c r="E41" s="421"/>
      <c r="F41" s="421"/>
      <c r="G41" s="421"/>
      <c r="H41" s="421"/>
      <c r="I41" s="101">
        <f>PRRAS!C651</f>
        <v>638</v>
      </c>
      <c r="J41" s="102">
        <f>PRRAS!D651</f>
        <v>1881907</v>
      </c>
      <c r="K41" s="103">
        <f>PRRAS!E651</f>
        <v>304237</v>
      </c>
    </row>
    <row r="42" spans="1:11" ht="12.95" customHeight="1" x14ac:dyDescent="0.2">
      <c r="A42" s="431"/>
      <c r="B42" s="422" t="str">
        <f>PRRAS!B652</f>
        <v>Manjak prihoda i primitaka za pokriće u sljedećem razdoblju (AOP 635+637-634-636)</v>
      </c>
      <c r="C42" s="423"/>
      <c r="D42" s="423"/>
      <c r="E42" s="423"/>
      <c r="F42" s="423"/>
      <c r="G42" s="423"/>
      <c r="H42" s="423"/>
      <c r="I42" s="104">
        <f>PRRAS!C652</f>
        <v>639</v>
      </c>
      <c r="J42" s="105">
        <f>PRRAS!D652</f>
        <v>0</v>
      </c>
      <c r="K42" s="106">
        <f>PRRAS!E652</f>
        <v>0</v>
      </c>
    </row>
    <row r="43" spans="1:11" ht="22.5" x14ac:dyDescent="0.2">
      <c r="A43" s="218"/>
      <c r="B43" s="402" t="s">
        <v>2993</v>
      </c>
      <c r="C43" s="402"/>
      <c r="D43" s="402"/>
      <c r="E43" s="402"/>
      <c r="F43" s="402"/>
      <c r="G43" s="402"/>
      <c r="H43" s="402"/>
      <c r="I43" s="219" t="s">
        <v>1401</v>
      </c>
      <c r="J43" s="96" t="s">
        <v>1402</v>
      </c>
      <c r="K43" s="97" t="s">
        <v>1403</v>
      </c>
    </row>
    <row r="44" spans="1:11" ht="12.95" customHeight="1" x14ac:dyDescent="0.2">
      <c r="A44" s="429" t="s">
        <v>2094</v>
      </c>
      <c r="B44" s="398" t="str">
        <f>Bil!B13</f>
        <v>Nefinancijska imovina (AOP 003+007+046+047+051+058)</v>
      </c>
      <c r="C44" s="428"/>
      <c r="D44" s="428"/>
      <c r="E44" s="428"/>
      <c r="F44" s="428"/>
      <c r="G44" s="428"/>
      <c r="H44" s="428"/>
      <c r="I44" s="98">
        <f>Bil!C13</f>
        <v>2</v>
      </c>
      <c r="J44" s="99">
        <f>Bil!D13</f>
        <v>0</v>
      </c>
      <c r="K44" s="100">
        <f>Bil!E13</f>
        <v>0</v>
      </c>
    </row>
    <row r="45" spans="1:11" ht="12.95" customHeight="1" x14ac:dyDescent="0.2">
      <c r="A45" s="430"/>
      <c r="B45" s="420" t="str">
        <f>Bil!B74</f>
        <v>Financijska imovina (AOP 064+073+082+113+129+141+159+165)</v>
      </c>
      <c r="C45" s="421"/>
      <c r="D45" s="421"/>
      <c r="E45" s="421"/>
      <c r="F45" s="421"/>
      <c r="G45" s="421"/>
      <c r="H45" s="421"/>
      <c r="I45" s="101">
        <f>Bil!C74</f>
        <v>63</v>
      </c>
      <c r="J45" s="102">
        <f>Bil!D74</f>
        <v>0</v>
      </c>
      <c r="K45" s="103">
        <f>Bil!E74</f>
        <v>0</v>
      </c>
    </row>
    <row r="46" spans="1:11" ht="12.95" customHeight="1" x14ac:dyDescent="0.2">
      <c r="A46" s="430"/>
      <c r="B46" s="420" t="str">
        <f>Bil!B181</f>
        <v>Obveze (AOP 171+183+184+200+228)</v>
      </c>
      <c r="C46" s="421"/>
      <c r="D46" s="421"/>
      <c r="E46" s="421"/>
      <c r="F46" s="421"/>
      <c r="G46" s="421"/>
      <c r="H46" s="421"/>
      <c r="I46" s="101">
        <f>Bil!C181</f>
        <v>170</v>
      </c>
      <c r="J46" s="102">
        <f>Bil!D181</f>
        <v>0</v>
      </c>
      <c r="K46" s="103">
        <f>Bil!E181</f>
        <v>0</v>
      </c>
    </row>
    <row r="47" spans="1:11" ht="12.95" customHeight="1" x14ac:dyDescent="0.2">
      <c r="A47" s="431"/>
      <c r="B47" s="422" t="str">
        <f>Bil!B242</f>
        <v>Vlastiti izvori (AOP 232 + 239 - 248 + 249 do 251)</v>
      </c>
      <c r="C47" s="423"/>
      <c r="D47" s="423"/>
      <c r="E47" s="423"/>
      <c r="F47" s="423"/>
      <c r="G47" s="423"/>
      <c r="H47" s="423"/>
      <c r="I47" s="104">
        <f>Bil!C242</f>
        <v>231</v>
      </c>
      <c r="J47" s="105">
        <f>Bil!D242</f>
        <v>0</v>
      </c>
      <c r="K47" s="106">
        <f>Bil!E242</f>
        <v>0</v>
      </c>
    </row>
    <row r="48" spans="1:11" ht="22.5" x14ac:dyDescent="0.2">
      <c r="A48" s="218"/>
      <c r="B48" s="402" t="s">
        <v>2993</v>
      </c>
      <c r="C48" s="402"/>
      <c r="D48" s="402"/>
      <c r="E48" s="402"/>
      <c r="F48" s="402"/>
      <c r="G48" s="402"/>
      <c r="H48" s="402"/>
      <c r="I48" s="219" t="s">
        <v>1401</v>
      </c>
      <c r="J48" s="96" t="s">
        <v>2923</v>
      </c>
      <c r="K48" s="97" t="s">
        <v>2924</v>
      </c>
    </row>
    <row r="49" spans="1:11" ht="12.95" customHeight="1" x14ac:dyDescent="0.2">
      <c r="A49" s="429" t="s">
        <v>2092</v>
      </c>
      <c r="B49" s="398" t="str">
        <f>RasF!B12</f>
        <v>Opće javne usluge (AOP 002+006+009+013 do 017)</v>
      </c>
      <c r="C49" s="398"/>
      <c r="D49" s="398"/>
      <c r="E49" s="398"/>
      <c r="F49" s="398"/>
      <c r="G49" s="398"/>
      <c r="H49" s="398"/>
      <c r="I49" s="98">
        <f>RasF!C12</f>
        <v>1</v>
      </c>
      <c r="J49" s="99">
        <f>RasF!D12</f>
        <v>0</v>
      </c>
      <c r="K49" s="100">
        <f>RasF!E12</f>
        <v>0</v>
      </c>
    </row>
    <row r="50" spans="1:11" ht="12.95" customHeight="1" x14ac:dyDescent="0.2">
      <c r="A50" s="430"/>
      <c r="B50" s="420" t="str">
        <f>RasF!B42</f>
        <v>Ekonomski poslovi (AOP 032+035+039+046+050+056+057+062+070)</v>
      </c>
      <c r="C50" s="420"/>
      <c r="D50" s="420"/>
      <c r="E50" s="420"/>
      <c r="F50" s="420"/>
      <c r="G50" s="420"/>
      <c r="H50" s="420"/>
      <c r="I50" s="101">
        <f>RasF!C42</f>
        <v>31</v>
      </c>
      <c r="J50" s="102">
        <f>RasF!D42</f>
        <v>0</v>
      </c>
      <c r="K50" s="103">
        <f>RasF!E42</f>
        <v>0</v>
      </c>
    </row>
    <row r="51" spans="1:11" ht="12.95" customHeight="1" x14ac:dyDescent="0.2">
      <c r="A51" s="430"/>
      <c r="B51" s="420" t="str">
        <f>RasF!B95</f>
        <v>Rashodi vezani za stanovanje i kom. pogodnosti koji nisu drugdje svrstani</v>
      </c>
      <c r="C51" s="420"/>
      <c r="D51" s="420"/>
      <c r="E51" s="420"/>
      <c r="F51" s="420"/>
      <c r="G51" s="420"/>
      <c r="H51" s="420"/>
      <c r="I51" s="101">
        <f>RasF!C95</f>
        <v>84</v>
      </c>
      <c r="J51" s="102">
        <f>RasF!D95</f>
        <v>0</v>
      </c>
      <c r="K51" s="103">
        <f>RasF!E95</f>
        <v>0</v>
      </c>
    </row>
    <row r="52" spans="1:11" ht="12.95" customHeight="1" x14ac:dyDescent="0.2">
      <c r="A52" s="430"/>
      <c r="B52" s="420" t="str">
        <f>RasF!B121</f>
        <v>Obrazovanje (AOP 111+114+117+118+121 do 124)</v>
      </c>
      <c r="C52" s="420"/>
      <c r="D52" s="420"/>
      <c r="E52" s="420"/>
      <c r="F52" s="420"/>
      <c r="G52" s="420"/>
      <c r="H52" s="420"/>
      <c r="I52" s="101">
        <f>RasF!C121</f>
        <v>110</v>
      </c>
      <c r="J52" s="102">
        <f>RasF!D121</f>
        <v>0</v>
      </c>
      <c r="K52" s="103">
        <f>RasF!E121</f>
        <v>0</v>
      </c>
    </row>
    <row r="53" spans="1:11" ht="12.95" customHeight="1" x14ac:dyDescent="0.2">
      <c r="A53" s="431"/>
      <c r="B53" s="422" t="str">
        <f>RasF!B148</f>
        <v>Kontrolni zbroj (AOP 001+018+024+031+071+078+085+103+110+125)</v>
      </c>
      <c r="C53" s="422"/>
      <c r="D53" s="422"/>
      <c r="E53" s="422"/>
      <c r="F53" s="422"/>
      <c r="G53" s="422"/>
      <c r="H53" s="422"/>
      <c r="I53" s="104">
        <f>RasF!C148</f>
        <v>137</v>
      </c>
      <c r="J53" s="105">
        <f>RasF!D148</f>
        <v>0</v>
      </c>
      <c r="K53" s="106">
        <f>RasF!E148</f>
        <v>0</v>
      </c>
    </row>
    <row r="54" spans="1:11" ht="22.5" x14ac:dyDescent="0.2">
      <c r="A54" s="218"/>
      <c r="B54" s="402" t="s">
        <v>2993</v>
      </c>
      <c r="C54" s="402"/>
      <c r="D54" s="402"/>
      <c r="E54" s="402"/>
      <c r="F54" s="402"/>
      <c r="G54" s="402"/>
      <c r="H54" s="402"/>
      <c r="I54" s="219" t="s">
        <v>1401</v>
      </c>
      <c r="J54" s="96" t="s">
        <v>1765</v>
      </c>
      <c r="K54" s="97" t="s">
        <v>1766</v>
      </c>
    </row>
    <row r="55" spans="1:11" ht="12.95" customHeight="1" x14ac:dyDescent="0.2">
      <c r="A55" s="429" t="s">
        <v>2093</v>
      </c>
      <c r="B55" s="428" t="str">
        <f>PVRIO!B12</f>
        <v>Promjene u vrijednosti i obujmu imovine (AOP 002+018)</v>
      </c>
      <c r="C55" s="428"/>
      <c r="D55" s="428"/>
      <c r="E55" s="428"/>
      <c r="F55" s="428"/>
      <c r="G55" s="428"/>
      <c r="H55" s="428"/>
      <c r="I55" s="98">
        <f>PVRIO!C12</f>
        <v>1</v>
      </c>
      <c r="J55" s="99">
        <f>PVRIO!D12</f>
        <v>0</v>
      </c>
      <c r="K55" s="100">
        <f>PVRIO!E12</f>
        <v>0</v>
      </c>
    </row>
    <row r="56" spans="1:11" ht="12.95" customHeight="1" x14ac:dyDescent="0.2">
      <c r="A56" s="430"/>
      <c r="B56" s="421" t="str">
        <f>PVRIO!B29</f>
        <v>Promjene u obujmu imovine (AOP 019+026)</v>
      </c>
      <c r="C56" s="421"/>
      <c r="D56" s="421"/>
      <c r="E56" s="421"/>
      <c r="F56" s="421"/>
      <c r="G56" s="421"/>
      <c r="H56" s="421"/>
      <c r="I56" s="101">
        <f>PVRIO!C29</f>
        <v>18</v>
      </c>
      <c r="J56" s="102">
        <f>PVRIO!D29</f>
        <v>0</v>
      </c>
      <c r="K56" s="103">
        <f>PVRIO!E29</f>
        <v>0</v>
      </c>
    </row>
    <row r="57" spans="1:11" ht="12.95" customHeight="1" x14ac:dyDescent="0.2">
      <c r="A57" s="430"/>
      <c r="B57" s="421" t="str">
        <f>PVRIO!B45</f>
        <v>Promjene u vrijednosti (revalorizacija) i obujmu obveza (AOP 035+040)</v>
      </c>
      <c r="C57" s="421"/>
      <c r="D57" s="421"/>
      <c r="E57" s="421"/>
      <c r="F57" s="421"/>
      <c r="G57" s="421"/>
      <c r="H57" s="421"/>
      <c r="I57" s="101">
        <f>PVRIO!C45</f>
        <v>34</v>
      </c>
      <c r="J57" s="102">
        <f>PVRIO!D45</f>
        <v>0</v>
      </c>
      <c r="K57" s="103">
        <f>PVRIO!E45</f>
        <v>0</v>
      </c>
    </row>
    <row r="58" spans="1:11" ht="12.95" customHeight="1" x14ac:dyDescent="0.2">
      <c r="A58" s="431"/>
      <c r="B58" s="423" t="str">
        <f>PVRIO!B51</f>
        <v>Promjene u obujmu obveza (AOP 041 do 044)</v>
      </c>
      <c r="C58" s="423"/>
      <c r="D58" s="423"/>
      <c r="E58" s="423"/>
      <c r="F58" s="423"/>
      <c r="G58" s="423"/>
      <c r="H58" s="423"/>
      <c r="I58" s="104">
        <f>PVRIO!C51</f>
        <v>40</v>
      </c>
      <c r="J58" s="105">
        <f>PVRIO!D51</f>
        <v>0</v>
      </c>
      <c r="K58" s="106">
        <f>PVRIO!E51</f>
        <v>0</v>
      </c>
    </row>
    <row r="59" spans="1:11" ht="22.5" x14ac:dyDescent="0.2">
      <c r="A59" s="218"/>
      <c r="B59" s="402" t="s">
        <v>2993</v>
      </c>
      <c r="C59" s="402"/>
      <c r="D59" s="402"/>
      <c r="E59" s="402"/>
      <c r="F59" s="402"/>
      <c r="G59" s="402"/>
      <c r="H59" s="402"/>
      <c r="I59" s="219" t="s">
        <v>1401</v>
      </c>
      <c r="J59" s="96"/>
      <c r="K59" s="97" t="s">
        <v>1935</v>
      </c>
    </row>
    <row r="60" spans="1:11" ht="12.95" customHeight="1" x14ac:dyDescent="0.2">
      <c r="A60" s="429" t="s">
        <v>2095</v>
      </c>
      <c r="B60" s="428" t="str">
        <f>Obv!B12</f>
        <v>Stanje obveza 1. siječnja (=AOP 038* iz Izvještaja o obvezama za prethodnu godinu)</v>
      </c>
      <c r="C60" s="428"/>
      <c r="D60" s="428"/>
      <c r="E60" s="428"/>
      <c r="F60" s="428"/>
      <c r="G60" s="428"/>
      <c r="H60" s="428"/>
      <c r="I60" s="98">
        <f>Obv!C12</f>
        <v>1</v>
      </c>
      <c r="J60" s="211"/>
      <c r="K60" s="100">
        <f>Obv!D12</f>
        <v>213893</v>
      </c>
    </row>
    <row r="61" spans="1:11" ht="12.95" customHeight="1" x14ac:dyDescent="0.2">
      <c r="A61" s="430"/>
      <c r="B61" s="420" t="str">
        <f>Obv!B49</f>
        <v>Stanje obveza na kraju izvještajnog razdoblja (AOP 001+002-020) i (AOP 039+097)</v>
      </c>
      <c r="C61" s="420"/>
      <c r="D61" s="420"/>
      <c r="E61" s="420"/>
      <c r="F61" s="420"/>
      <c r="G61" s="420"/>
      <c r="H61" s="420"/>
      <c r="I61" s="101">
        <f>Obv!C49</f>
        <v>38</v>
      </c>
      <c r="J61" s="212"/>
      <c r="K61" s="103">
        <f>Obv!D49</f>
        <v>1046809</v>
      </c>
    </row>
    <row r="62" spans="1:11" ht="12.95" customHeight="1" x14ac:dyDescent="0.2">
      <c r="A62" s="430"/>
      <c r="B62" s="420" t="str">
        <f>Obv!B50</f>
        <v>Stanje dospjelih obveza na kraju izvještajnog razdoblja (AOP 040+045+086+091)</v>
      </c>
      <c r="C62" s="420"/>
      <c r="D62" s="420"/>
      <c r="E62" s="420"/>
      <c r="F62" s="420"/>
      <c r="G62" s="420"/>
      <c r="H62" s="420"/>
      <c r="I62" s="101">
        <f>Obv!C50</f>
        <v>39</v>
      </c>
      <c r="J62" s="212"/>
      <c r="K62" s="103">
        <f>Obv!D50</f>
        <v>5097</v>
      </c>
    </row>
    <row r="63" spans="1:11" ht="12.95" customHeight="1" x14ac:dyDescent="0.2">
      <c r="A63" s="431"/>
      <c r="B63" s="422" t="str">
        <f>Obv!B108</f>
        <v>Stanje nedospjelih obveza na kraju izvještajnog razdoblja (AOP 098 do 101)</v>
      </c>
      <c r="C63" s="422"/>
      <c r="D63" s="422"/>
      <c r="E63" s="422"/>
      <c r="F63" s="422"/>
      <c r="G63" s="422"/>
      <c r="H63" s="422"/>
      <c r="I63" s="104">
        <f>Obv!C108</f>
        <v>97</v>
      </c>
      <c r="J63" s="213"/>
      <c r="K63" s="106">
        <f>Obv!D108</f>
        <v>1041711</v>
      </c>
    </row>
    <row r="64" spans="1:11" ht="5.0999999999999996" customHeight="1" x14ac:dyDescent="0.2">
      <c r="A64" s="4"/>
      <c r="B64" s="5"/>
      <c r="C64" s="5"/>
      <c r="D64" s="5"/>
      <c r="E64" s="5"/>
      <c r="F64" s="5"/>
      <c r="G64" s="5"/>
      <c r="H64" s="5"/>
      <c r="I64" s="5"/>
      <c r="J64" s="6"/>
      <c r="K64" s="6"/>
    </row>
    <row r="65" spans="1:11" ht="36.75" customHeight="1" x14ac:dyDescent="0.2">
      <c r="A65" s="47" t="s">
        <v>1112</v>
      </c>
      <c r="B65" s="5"/>
      <c r="C65" s="5"/>
      <c r="D65" s="5"/>
      <c r="E65" s="5"/>
      <c r="F65" s="5"/>
      <c r="G65" s="5"/>
      <c r="H65" s="5"/>
      <c r="I65" s="5"/>
      <c r="J65" s="432" t="str">
        <f xml:space="preserve"> "Verzija Excel datoteke: " &amp; MID(Skriveni!K31,1,1) &amp; "." &amp; MID(Skriveni!K31,2,1) &amp; "." &amp; MID(Skriveni!K31,3,1) &amp; "."</f>
        <v>Verzija Excel datoteke: 7.0.1.</v>
      </c>
      <c r="K65" s="432"/>
    </row>
    <row r="66" spans="1:11" ht="53.25" customHeight="1" x14ac:dyDescent="0.2">
      <c r="A66" s="15"/>
      <c r="B66" s="15"/>
      <c r="C66" s="15"/>
      <c r="D66" s="15"/>
      <c r="E66" s="15"/>
      <c r="F66" s="15"/>
      <c r="G66" s="16"/>
      <c r="H66" s="15"/>
      <c r="I66" s="15"/>
      <c r="J66" s="15"/>
      <c r="K66" s="15"/>
    </row>
    <row r="67" spans="1:11" ht="21.75" customHeight="1" x14ac:dyDescent="0.2">
      <c r="A67" s="414" t="s">
        <v>133</v>
      </c>
      <c r="B67" s="414"/>
      <c r="C67" s="414"/>
      <c r="D67" s="414"/>
      <c r="E67" s="12"/>
      <c r="F67" s="17"/>
      <c r="G67" s="12"/>
      <c r="H67" s="415" t="s">
        <v>495</v>
      </c>
      <c r="I67" s="416"/>
      <c r="J67" s="416"/>
      <c r="K67" s="416"/>
    </row>
    <row r="68" spans="1:11" ht="5.0999999999999996" customHeight="1" x14ac:dyDescent="0.2"/>
    <row r="69" spans="1:11" ht="12.75" hidden="1" customHeight="1" x14ac:dyDescent="0.2"/>
    <row r="70" spans="1:11" ht="12.75" hidden="1" customHeight="1" x14ac:dyDescent="0.2">
      <c r="A70" s="1">
        <v>11</v>
      </c>
      <c r="B70" s="1" t="s">
        <v>4064</v>
      </c>
    </row>
    <row r="71" spans="1:11" ht="12.75" hidden="1" customHeight="1" x14ac:dyDescent="0.2">
      <c r="A71" s="1">
        <v>12</v>
      </c>
      <c r="B71" s="1" t="s">
        <v>4063</v>
      </c>
    </row>
    <row r="72" spans="1:11" ht="12.75" hidden="1" customHeight="1" x14ac:dyDescent="0.2">
      <c r="A72" s="1">
        <v>13</v>
      </c>
      <c r="B72" s="1" t="s">
        <v>4065</v>
      </c>
    </row>
    <row r="73" spans="1:11" ht="12.75" hidden="1" customHeight="1" x14ac:dyDescent="0.2">
      <c r="A73" s="1">
        <v>21</v>
      </c>
      <c r="B73" s="1" t="s">
        <v>4066</v>
      </c>
    </row>
    <row r="74" spans="1:11" ht="12.75" hidden="1" customHeight="1" x14ac:dyDescent="0.2">
      <c r="A74" s="1">
        <v>22</v>
      </c>
      <c r="B74" s="1" t="s">
        <v>2580</v>
      </c>
    </row>
    <row r="75" spans="1:11" ht="12.75" hidden="1" customHeight="1" x14ac:dyDescent="0.2">
      <c r="A75" s="1">
        <v>23</v>
      </c>
      <c r="B75" s="1" t="s">
        <v>2581</v>
      </c>
    </row>
    <row r="76" spans="1:11" ht="12.75" hidden="1" customHeight="1" x14ac:dyDescent="0.2">
      <c r="A76" s="1">
        <v>31</v>
      </c>
      <c r="B76" s="1" t="s">
        <v>648</v>
      </c>
    </row>
    <row r="77" spans="1:11" ht="12.75" hidden="1" customHeight="1" x14ac:dyDescent="0.2">
      <c r="A77" s="1">
        <v>41</v>
      </c>
      <c r="B77" s="1" t="s">
        <v>3675</v>
      </c>
    </row>
    <row r="78" spans="1:11" ht="12.75" hidden="1" customHeight="1" x14ac:dyDescent="0.2">
      <c r="A78" s="1">
        <v>42</v>
      </c>
      <c r="B78" s="1" t="s">
        <v>3676</v>
      </c>
    </row>
    <row r="79" spans="1:11" ht="12.75" hidden="1" customHeight="1" x14ac:dyDescent="0.2"/>
    <row r="80" spans="1:11" ht="12.75" hidden="1" customHeight="1" x14ac:dyDescent="0.2">
      <c r="A80" s="34" t="s">
        <v>2201</v>
      </c>
      <c r="B80" s="37" t="s">
        <v>87</v>
      </c>
    </row>
    <row r="81" spans="1:2" ht="12.75" hidden="1" customHeight="1" x14ac:dyDescent="0.2">
      <c r="A81" s="33"/>
      <c r="B81" s="39" t="s">
        <v>855</v>
      </c>
    </row>
    <row r="82" spans="1:2" ht="12.75" hidden="1" customHeight="1" x14ac:dyDescent="0.2">
      <c r="A82" s="33" t="s">
        <v>3765</v>
      </c>
      <c r="B82" s="39" t="s">
        <v>3766</v>
      </c>
    </row>
    <row r="83" spans="1:2" ht="12.75" hidden="1" customHeight="1" x14ac:dyDescent="0.2">
      <c r="A83" s="33" t="s">
        <v>3767</v>
      </c>
      <c r="B83" s="38" t="s">
        <v>3768</v>
      </c>
    </row>
    <row r="84" spans="1:2" ht="12.75" hidden="1" customHeight="1" x14ac:dyDescent="0.2">
      <c r="A84" s="33" t="s">
        <v>3769</v>
      </c>
      <c r="B84" s="38" t="s">
        <v>3770</v>
      </c>
    </row>
    <row r="85" spans="1:2" ht="12.75" hidden="1" customHeight="1" x14ac:dyDescent="0.2">
      <c r="A85" s="33" t="s">
        <v>3771</v>
      </c>
      <c r="B85" s="38" t="s">
        <v>3772</v>
      </c>
    </row>
    <row r="86" spans="1:2" ht="12.75" hidden="1" customHeight="1" x14ac:dyDescent="0.2"/>
    <row r="87" spans="1:2" ht="12.75" hidden="1" customHeight="1" x14ac:dyDescent="0.2">
      <c r="A87" s="42">
        <v>1</v>
      </c>
      <c r="B87" s="42" t="s">
        <v>2613</v>
      </c>
    </row>
    <row r="88" spans="1:2" ht="12.75" hidden="1" customHeight="1" x14ac:dyDescent="0.2">
      <c r="A88" s="42">
        <v>2</v>
      </c>
      <c r="B88" s="42" t="s">
        <v>2614</v>
      </c>
    </row>
    <row r="89" spans="1:2" ht="12.75" hidden="1" customHeight="1" x14ac:dyDescent="0.2">
      <c r="A89" s="42">
        <v>3</v>
      </c>
      <c r="B89" s="42" t="s">
        <v>2615</v>
      </c>
    </row>
    <row r="90" spans="1:2" ht="12.75" hidden="1" customHeight="1" x14ac:dyDescent="0.2">
      <c r="A90" s="42">
        <v>4</v>
      </c>
      <c r="B90" s="42" t="s">
        <v>2616</v>
      </c>
    </row>
    <row r="91" spans="1:2" ht="12.75" hidden="1" customHeight="1" x14ac:dyDescent="0.2">
      <c r="A91" s="42">
        <v>5</v>
      </c>
      <c r="B91" s="42" t="s">
        <v>3955</v>
      </c>
    </row>
    <row r="92" spans="1:2" ht="12.75" hidden="1" customHeight="1" x14ac:dyDescent="0.2">
      <c r="A92" s="42">
        <v>6</v>
      </c>
      <c r="B92" s="42" t="s">
        <v>3956</v>
      </c>
    </row>
    <row r="93" spans="1:2" ht="12.75" hidden="1" customHeight="1" x14ac:dyDescent="0.2">
      <c r="A93" s="42">
        <v>7</v>
      </c>
      <c r="B93" s="42" t="s">
        <v>3957</v>
      </c>
    </row>
    <row r="94" spans="1:2" ht="12.75" hidden="1" customHeight="1" x14ac:dyDescent="0.2">
      <c r="A94" s="42">
        <v>8</v>
      </c>
      <c r="B94" s="42" t="s">
        <v>3958</v>
      </c>
    </row>
    <row r="95" spans="1:2" ht="12.75" hidden="1" customHeight="1" x14ac:dyDescent="0.2">
      <c r="A95" s="42">
        <v>9</v>
      </c>
      <c r="B95" s="42" t="s">
        <v>3959</v>
      </c>
    </row>
    <row r="96" spans="1:2" ht="12.75" hidden="1" customHeight="1" x14ac:dyDescent="0.2">
      <c r="A96" s="42">
        <v>10</v>
      </c>
      <c r="B96" s="42" t="s">
        <v>3960</v>
      </c>
    </row>
    <row r="97" spans="1:5" ht="12.75" hidden="1" customHeight="1" x14ac:dyDescent="0.2">
      <c r="A97" s="42">
        <v>11</v>
      </c>
      <c r="B97" s="42" t="s">
        <v>3961</v>
      </c>
    </row>
    <row r="98" spans="1:5" ht="12.75" hidden="1" customHeight="1" x14ac:dyDescent="0.2">
      <c r="A98" s="42">
        <v>12</v>
      </c>
      <c r="B98" s="42" t="s">
        <v>3962</v>
      </c>
    </row>
    <row r="99" spans="1:5" ht="12.75" hidden="1" customHeight="1" x14ac:dyDescent="0.2">
      <c r="A99" s="42">
        <v>13</v>
      </c>
      <c r="B99" s="42" t="s">
        <v>3963</v>
      </c>
    </row>
    <row r="100" spans="1:5" ht="12.75" hidden="1" customHeight="1" x14ac:dyDescent="0.2">
      <c r="A100" s="42">
        <v>14</v>
      </c>
      <c r="B100" s="42" t="s">
        <v>3964</v>
      </c>
    </row>
    <row r="101" spans="1:5" ht="12.75" hidden="1" customHeight="1" x14ac:dyDescent="0.2">
      <c r="A101" s="42">
        <v>15</v>
      </c>
      <c r="B101" s="42" t="s">
        <v>3965</v>
      </c>
    </row>
    <row r="102" spans="1:5" ht="12.75" hidden="1" customHeight="1" x14ac:dyDescent="0.2">
      <c r="A102" s="42">
        <v>16</v>
      </c>
      <c r="B102" s="42" t="s">
        <v>3966</v>
      </c>
    </row>
    <row r="103" spans="1:5" ht="12.75" hidden="1" customHeight="1" x14ac:dyDescent="0.2">
      <c r="A103" s="42">
        <v>17</v>
      </c>
      <c r="B103" s="42" t="s">
        <v>3967</v>
      </c>
    </row>
    <row r="104" spans="1:5" ht="12.75" hidden="1" customHeight="1" x14ac:dyDescent="0.2">
      <c r="A104" s="42">
        <v>18</v>
      </c>
      <c r="B104" s="42" t="s">
        <v>3968</v>
      </c>
    </row>
    <row r="105" spans="1:5" ht="12.75" hidden="1" customHeight="1" x14ac:dyDescent="0.2">
      <c r="A105" s="42">
        <v>19</v>
      </c>
      <c r="B105" s="42" t="s">
        <v>3969</v>
      </c>
    </row>
    <row r="106" spans="1:5" ht="12.75" hidden="1" customHeight="1" x14ac:dyDescent="0.2">
      <c r="A106" s="42">
        <v>20</v>
      </c>
      <c r="B106" s="42" t="s">
        <v>1295</v>
      </c>
    </row>
    <row r="107" spans="1:5" ht="12.75" hidden="1" customHeight="1" x14ac:dyDescent="0.2">
      <c r="A107" s="42">
        <v>21</v>
      </c>
      <c r="B107" s="42" t="s">
        <v>4239</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857</v>
      </c>
      <c r="C111" s="1">
        <v>16</v>
      </c>
      <c r="E111" s="40">
        <v>111</v>
      </c>
    </row>
    <row r="112" spans="1:5" ht="12.75" hidden="1" customHeight="1" x14ac:dyDescent="0.2">
      <c r="A112" s="1">
        <v>2</v>
      </c>
      <c r="B112" s="1" t="s">
        <v>858</v>
      </c>
      <c r="C112" s="1">
        <v>14</v>
      </c>
      <c r="E112" s="40">
        <v>112</v>
      </c>
    </row>
    <row r="113" spans="1:5" ht="12.75" hidden="1" customHeight="1" x14ac:dyDescent="0.2">
      <c r="A113" s="1">
        <v>3</v>
      </c>
      <c r="B113" s="1" t="s">
        <v>859</v>
      </c>
      <c r="C113" s="1">
        <v>16</v>
      </c>
      <c r="E113" s="40">
        <v>113</v>
      </c>
    </row>
    <row r="114" spans="1:5" ht="12.75" hidden="1" customHeight="1" x14ac:dyDescent="0.2">
      <c r="A114" s="1">
        <v>4</v>
      </c>
      <c r="B114" s="1" t="s">
        <v>860</v>
      </c>
      <c r="C114" s="1">
        <v>8</v>
      </c>
      <c r="E114" s="40">
        <v>114</v>
      </c>
    </row>
    <row r="115" spans="1:5" ht="12.75" hidden="1" customHeight="1" x14ac:dyDescent="0.2">
      <c r="A115" s="1">
        <v>5</v>
      </c>
      <c r="B115" s="1" t="s">
        <v>861</v>
      </c>
      <c r="C115" s="1">
        <v>18</v>
      </c>
      <c r="E115" s="40">
        <v>115</v>
      </c>
    </row>
    <row r="116" spans="1:5" ht="12.75" hidden="1" customHeight="1" x14ac:dyDescent="0.2">
      <c r="A116" s="1">
        <v>6</v>
      </c>
      <c r="B116" s="1" t="s">
        <v>862</v>
      </c>
      <c r="C116" s="1">
        <v>18</v>
      </c>
      <c r="E116" s="40">
        <v>116</v>
      </c>
    </row>
    <row r="117" spans="1:5" ht="12.75" hidden="1" customHeight="1" x14ac:dyDescent="0.2">
      <c r="A117" s="1">
        <v>7</v>
      </c>
      <c r="B117" s="1" t="s">
        <v>863</v>
      </c>
      <c r="C117" s="1">
        <v>4</v>
      </c>
      <c r="E117" s="40">
        <v>119</v>
      </c>
    </row>
    <row r="118" spans="1:5" ht="12.75" hidden="1" customHeight="1" x14ac:dyDescent="0.2">
      <c r="A118" s="1">
        <v>8</v>
      </c>
      <c r="B118" s="1" t="s">
        <v>864</v>
      </c>
      <c r="C118" s="1">
        <v>8</v>
      </c>
      <c r="E118" s="40">
        <v>121</v>
      </c>
    </row>
    <row r="119" spans="1:5" ht="12.75" hidden="1" customHeight="1" x14ac:dyDescent="0.2">
      <c r="A119" s="1">
        <v>9</v>
      </c>
      <c r="B119" s="1" t="s">
        <v>865</v>
      </c>
      <c r="C119" s="1">
        <v>17</v>
      </c>
      <c r="E119" s="40">
        <v>122</v>
      </c>
    </row>
    <row r="120" spans="1:5" ht="12.75" hidden="1" customHeight="1" x14ac:dyDescent="0.2">
      <c r="A120" s="1">
        <v>10</v>
      </c>
      <c r="B120" s="1" t="s">
        <v>866</v>
      </c>
      <c r="C120" s="1">
        <v>12</v>
      </c>
      <c r="E120" s="40">
        <v>123</v>
      </c>
    </row>
    <row r="121" spans="1:5" ht="12.75" hidden="1" customHeight="1" x14ac:dyDescent="0.2">
      <c r="A121" s="1">
        <v>11</v>
      </c>
      <c r="B121" s="1" t="s">
        <v>867</v>
      </c>
      <c r="C121" s="1">
        <v>2</v>
      </c>
      <c r="E121" s="40">
        <v>124</v>
      </c>
    </row>
    <row r="122" spans="1:5" ht="12.75" hidden="1" customHeight="1" x14ac:dyDescent="0.2">
      <c r="A122" s="1">
        <v>12</v>
      </c>
      <c r="B122" s="1" t="s">
        <v>868</v>
      </c>
      <c r="C122" s="1">
        <v>5</v>
      </c>
      <c r="E122" s="40">
        <v>125</v>
      </c>
    </row>
    <row r="123" spans="1:5" ht="12.75" hidden="1" customHeight="1" x14ac:dyDescent="0.2">
      <c r="A123" s="1">
        <v>13</v>
      </c>
      <c r="B123" s="1" t="s">
        <v>869</v>
      </c>
      <c r="C123" s="1">
        <v>14</v>
      </c>
      <c r="E123" s="40">
        <v>125</v>
      </c>
    </row>
    <row r="124" spans="1:5" ht="12.75" hidden="1" customHeight="1" x14ac:dyDescent="0.2">
      <c r="A124" s="1">
        <v>15</v>
      </c>
      <c r="B124" s="1" t="s">
        <v>870</v>
      </c>
      <c r="C124" s="1">
        <v>20</v>
      </c>
      <c r="E124" s="40">
        <v>126</v>
      </c>
    </row>
    <row r="125" spans="1:5" ht="12.75" hidden="1" customHeight="1" x14ac:dyDescent="0.2">
      <c r="A125" s="1">
        <v>16</v>
      </c>
      <c r="B125" s="1" t="s">
        <v>871</v>
      </c>
      <c r="C125" s="1">
        <v>14</v>
      </c>
      <c r="E125" s="40">
        <v>127</v>
      </c>
    </row>
    <row r="126" spans="1:5" ht="12.75" hidden="1" customHeight="1" x14ac:dyDescent="0.2">
      <c r="A126" s="1">
        <v>17</v>
      </c>
      <c r="B126" s="1" t="s">
        <v>872</v>
      </c>
      <c r="C126" s="1">
        <v>13</v>
      </c>
      <c r="E126" s="40">
        <v>128</v>
      </c>
    </row>
    <row r="127" spans="1:5" ht="12.75" hidden="1" customHeight="1" x14ac:dyDescent="0.2">
      <c r="A127" s="1">
        <v>18</v>
      </c>
      <c r="B127" s="1" t="s">
        <v>211</v>
      </c>
      <c r="C127" s="1">
        <v>7</v>
      </c>
      <c r="E127" s="40">
        <v>129</v>
      </c>
    </row>
    <row r="128" spans="1:5" ht="12.75" hidden="1" customHeight="1" x14ac:dyDescent="0.2">
      <c r="A128" s="1">
        <v>19</v>
      </c>
      <c r="B128" s="1" t="s">
        <v>2691</v>
      </c>
      <c r="C128" s="1">
        <v>5</v>
      </c>
      <c r="E128" s="40">
        <v>130</v>
      </c>
    </row>
    <row r="129" spans="1:5" ht="12.75" hidden="1" customHeight="1" x14ac:dyDescent="0.2">
      <c r="A129" s="1">
        <v>20</v>
      </c>
      <c r="B129" s="1" t="s">
        <v>2692</v>
      </c>
      <c r="C129" s="1">
        <v>13</v>
      </c>
      <c r="E129" s="40">
        <v>141</v>
      </c>
    </row>
    <row r="130" spans="1:5" ht="12.75" hidden="1" customHeight="1" x14ac:dyDescent="0.2">
      <c r="A130" s="1">
        <v>21</v>
      </c>
      <c r="B130" s="1" t="s">
        <v>2693</v>
      </c>
      <c r="C130" s="1">
        <v>14</v>
      </c>
      <c r="E130" s="40">
        <v>142</v>
      </c>
    </row>
    <row r="131" spans="1:5" ht="12.75" hidden="1" customHeight="1" x14ac:dyDescent="0.2">
      <c r="A131" s="1">
        <v>22</v>
      </c>
      <c r="B131" s="1" t="s">
        <v>4067</v>
      </c>
      <c r="C131" s="1">
        <v>13</v>
      </c>
      <c r="E131" s="40">
        <v>143</v>
      </c>
    </row>
    <row r="132" spans="1:5" ht="12.75" hidden="1" customHeight="1" x14ac:dyDescent="0.2">
      <c r="A132" s="1">
        <v>23</v>
      </c>
      <c r="B132" s="1" t="s">
        <v>4068</v>
      </c>
      <c r="C132" s="1">
        <v>14</v>
      </c>
      <c r="E132" s="40">
        <v>144</v>
      </c>
    </row>
    <row r="133" spans="1:5" ht="12.75" hidden="1" customHeight="1" x14ac:dyDescent="0.2">
      <c r="A133" s="1">
        <v>24</v>
      </c>
      <c r="B133" s="1" t="s">
        <v>3116</v>
      </c>
      <c r="C133" s="1">
        <v>7</v>
      </c>
      <c r="E133" s="40">
        <v>145</v>
      </c>
    </row>
    <row r="134" spans="1:5" ht="12.75" hidden="1" customHeight="1" x14ac:dyDescent="0.2">
      <c r="A134" s="1">
        <v>25</v>
      </c>
      <c r="B134" s="1" t="s">
        <v>3117</v>
      </c>
      <c r="C134" s="1">
        <v>19</v>
      </c>
      <c r="E134" s="40">
        <v>146</v>
      </c>
    </row>
    <row r="135" spans="1:5" ht="12.75" hidden="1" customHeight="1" x14ac:dyDescent="0.2">
      <c r="A135" s="1">
        <v>26</v>
      </c>
      <c r="B135" s="1" t="s">
        <v>3118</v>
      </c>
      <c r="C135" s="1">
        <v>16</v>
      </c>
      <c r="E135" s="40">
        <v>147</v>
      </c>
    </row>
    <row r="136" spans="1:5" ht="12.75" hidden="1" customHeight="1" x14ac:dyDescent="0.2">
      <c r="A136" s="1">
        <v>27</v>
      </c>
      <c r="B136" s="1" t="s">
        <v>3119</v>
      </c>
      <c r="C136" s="1">
        <v>17</v>
      </c>
      <c r="E136" s="40">
        <v>149</v>
      </c>
    </row>
    <row r="137" spans="1:5" ht="12.75" hidden="1" customHeight="1" x14ac:dyDescent="0.2">
      <c r="A137" s="1">
        <v>29</v>
      </c>
      <c r="B137" s="1" t="s">
        <v>3120</v>
      </c>
      <c r="C137" s="1">
        <v>16</v>
      </c>
      <c r="E137" s="40">
        <v>150</v>
      </c>
    </row>
    <row r="138" spans="1:5" ht="12.75" hidden="1" customHeight="1" x14ac:dyDescent="0.2">
      <c r="A138" s="1">
        <v>30</v>
      </c>
      <c r="B138" s="1" t="s">
        <v>3121</v>
      </c>
      <c r="C138" s="1">
        <v>4</v>
      </c>
      <c r="E138" s="40">
        <v>161</v>
      </c>
    </row>
    <row r="139" spans="1:5" ht="12.75" hidden="1" customHeight="1" x14ac:dyDescent="0.2">
      <c r="A139" s="1">
        <v>32</v>
      </c>
      <c r="B139" s="1" t="s">
        <v>3122</v>
      </c>
      <c r="C139" s="1">
        <v>16</v>
      </c>
      <c r="E139" s="40">
        <v>162</v>
      </c>
    </row>
    <row r="140" spans="1:5" ht="12.75" hidden="1" customHeight="1" x14ac:dyDescent="0.2">
      <c r="A140" s="1">
        <v>33</v>
      </c>
      <c r="B140" s="1" t="s">
        <v>3123</v>
      </c>
      <c r="C140" s="1">
        <v>1</v>
      </c>
      <c r="E140" s="40">
        <v>163</v>
      </c>
    </row>
    <row r="141" spans="1:5" ht="12.75" hidden="1" customHeight="1" x14ac:dyDescent="0.2">
      <c r="A141" s="1">
        <v>34</v>
      </c>
      <c r="B141" s="1" t="s">
        <v>3124</v>
      </c>
      <c r="C141" s="1">
        <v>1</v>
      </c>
      <c r="E141" s="40">
        <v>164</v>
      </c>
    </row>
    <row r="142" spans="1:5" ht="12.75" hidden="1" customHeight="1" x14ac:dyDescent="0.2">
      <c r="A142" s="1">
        <v>35</v>
      </c>
      <c r="B142" s="1" t="s">
        <v>4129</v>
      </c>
      <c r="C142" s="1">
        <v>11</v>
      </c>
      <c r="E142" s="40">
        <v>170</v>
      </c>
    </row>
    <row r="143" spans="1:5" ht="12.75" hidden="1" customHeight="1" x14ac:dyDescent="0.2">
      <c r="A143" s="1">
        <v>36</v>
      </c>
      <c r="B143" s="1" t="s">
        <v>4130</v>
      </c>
      <c r="C143" s="1">
        <v>5</v>
      </c>
      <c r="E143" s="40">
        <v>210</v>
      </c>
    </row>
    <row r="144" spans="1:5" ht="12.75" hidden="1" customHeight="1" x14ac:dyDescent="0.2">
      <c r="A144" s="1">
        <v>37</v>
      </c>
      <c r="B144" s="1" t="s">
        <v>4131</v>
      </c>
      <c r="C144" s="1">
        <v>9</v>
      </c>
      <c r="E144" s="40">
        <v>220</v>
      </c>
    </row>
    <row r="145" spans="1:5" ht="12.75" hidden="1" customHeight="1" x14ac:dyDescent="0.2">
      <c r="A145" s="1">
        <v>38</v>
      </c>
      <c r="B145" s="1" t="s">
        <v>4132</v>
      </c>
      <c r="C145" s="1">
        <v>8</v>
      </c>
      <c r="E145" s="40">
        <v>230</v>
      </c>
    </row>
    <row r="146" spans="1:5" ht="12.75" hidden="1" customHeight="1" x14ac:dyDescent="0.2">
      <c r="A146" s="1">
        <v>39</v>
      </c>
      <c r="B146" s="1" t="s">
        <v>2772</v>
      </c>
      <c r="C146" s="1">
        <v>12</v>
      </c>
      <c r="E146" s="40">
        <v>240</v>
      </c>
    </row>
    <row r="147" spans="1:5" ht="12.75" hidden="1" customHeight="1" x14ac:dyDescent="0.2">
      <c r="A147" s="1">
        <v>40</v>
      </c>
      <c r="B147" s="1" t="s">
        <v>2773</v>
      </c>
      <c r="C147" s="1">
        <v>18</v>
      </c>
      <c r="E147" s="40">
        <v>311</v>
      </c>
    </row>
    <row r="148" spans="1:5" ht="12.75" hidden="1" customHeight="1" x14ac:dyDescent="0.2">
      <c r="A148" s="1">
        <v>41</v>
      </c>
      <c r="B148" s="1" t="s">
        <v>4150</v>
      </c>
      <c r="C148" s="1">
        <v>2</v>
      </c>
      <c r="E148" s="40">
        <v>312</v>
      </c>
    </row>
    <row r="149" spans="1:5" ht="12.75" hidden="1" customHeight="1" x14ac:dyDescent="0.2">
      <c r="A149" s="1">
        <v>42</v>
      </c>
      <c r="B149" s="1" t="s">
        <v>4151</v>
      </c>
      <c r="C149" s="1">
        <v>18</v>
      </c>
      <c r="E149" s="40">
        <v>321</v>
      </c>
    </row>
    <row r="150" spans="1:5" ht="12.75" hidden="1" customHeight="1" x14ac:dyDescent="0.2">
      <c r="A150" s="1">
        <v>43</v>
      </c>
      <c r="B150" s="1" t="s">
        <v>4152</v>
      </c>
      <c r="C150" s="1">
        <v>18</v>
      </c>
      <c r="E150" s="40">
        <v>322</v>
      </c>
    </row>
    <row r="151" spans="1:5" ht="12.75" hidden="1" customHeight="1" x14ac:dyDescent="0.2">
      <c r="A151" s="1">
        <v>44</v>
      </c>
      <c r="B151" s="1" t="s">
        <v>4153</v>
      </c>
      <c r="C151" s="1">
        <v>16</v>
      </c>
      <c r="E151" s="40">
        <v>510</v>
      </c>
    </row>
    <row r="152" spans="1:5" ht="12.75" hidden="1" customHeight="1" x14ac:dyDescent="0.2">
      <c r="A152" s="1">
        <v>46</v>
      </c>
      <c r="B152" s="1" t="s">
        <v>4154</v>
      </c>
      <c r="C152" s="1">
        <v>12</v>
      </c>
      <c r="E152" s="40">
        <v>520</v>
      </c>
    </row>
    <row r="153" spans="1:5" ht="12.75" hidden="1" customHeight="1" x14ac:dyDescent="0.2">
      <c r="A153" s="1">
        <v>47</v>
      </c>
      <c r="B153" s="1" t="s">
        <v>4155</v>
      </c>
      <c r="C153" s="1">
        <v>18</v>
      </c>
      <c r="E153" s="40">
        <v>610</v>
      </c>
    </row>
    <row r="154" spans="1:5" ht="12.75" hidden="1" customHeight="1" x14ac:dyDescent="0.2">
      <c r="A154" s="1">
        <v>48</v>
      </c>
      <c r="B154" s="1" t="s">
        <v>4156</v>
      </c>
      <c r="C154" s="1">
        <v>5</v>
      </c>
      <c r="E154" s="40">
        <v>620</v>
      </c>
    </row>
    <row r="155" spans="1:5" ht="12.75" hidden="1" customHeight="1" x14ac:dyDescent="0.2">
      <c r="A155" s="1">
        <v>49</v>
      </c>
      <c r="B155" s="1" t="s">
        <v>3335</v>
      </c>
      <c r="C155" s="1">
        <v>4</v>
      </c>
      <c r="E155" s="40">
        <v>710</v>
      </c>
    </row>
    <row r="156" spans="1:5" ht="12.75" hidden="1" customHeight="1" x14ac:dyDescent="0.2">
      <c r="A156" s="1">
        <v>50</v>
      </c>
      <c r="B156" s="1" t="s">
        <v>3336</v>
      </c>
      <c r="C156" s="1">
        <v>17</v>
      </c>
      <c r="E156" s="40">
        <v>721</v>
      </c>
    </row>
    <row r="157" spans="1:5" ht="12.75" hidden="1" customHeight="1" x14ac:dyDescent="0.2">
      <c r="A157" s="1">
        <v>51</v>
      </c>
      <c r="B157" s="1" t="s">
        <v>3337</v>
      </c>
      <c r="C157" s="1">
        <v>15</v>
      </c>
      <c r="E157" s="40">
        <v>729</v>
      </c>
    </row>
    <row r="158" spans="1:5" ht="12.75" hidden="1" customHeight="1" x14ac:dyDescent="0.2">
      <c r="A158" s="1">
        <v>52</v>
      </c>
      <c r="B158" s="1" t="s">
        <v>3338</v>
      </c>
      <c r="C158" s="1">
        <v>8</v>
      </c>
      <c r="E158" s="40">
        <v>811</v>
      </c>
    </row>
    <row r="159" spans="1:5" ht="12.75" hidden="1" customHeight="1" x14ac:dyDescent="0.2">
      <c r="A159" s="1">
        <v>53</v>
      </c>
      <c r="B159" s="1" t="s">
        <v>3339</v>
      </c>
      <c r="C159" s="1">
        <v>8</v>
      </c>
      <c r="E159" s="40">
        <v>812</v>
      </c>
    </row>
    <row r="160" spans="1:5" ht="12.75" hidden="1" customHeight="1" x14ac:dyDescent="0.2">
      <c r="A160" s="1">
        <v>54</v>
      </c>
      <c r="B160" s="1" t="s">
        <v>3340</v>
      </c>
      <c r="C160" s="1">
        <v>10</v>
      </c>
      <c r="E160" s="40">
        <v>891</v>
      </c>
    </row>
    <row r="161" spans="1:5" ht="12.75" hidden="1" customHeight="1" x14ac:dyDescent="0.2">
      <c r="A161" s="1">
        <v>55</v>
      </c>
      <c r="B161" s="1" t="s">
        <v>3341</v>
      </c>
      <c r="C161" s="1">
        <v>8</v>
      </c>
      <c r="E161" s="40">
        <v>892</v>
      </c>
    </row>
    <row r="162" spans="1:5" ht="12.75" hidden="1" customHeight="1" x14ac:dyDescent="0.2">
      <c r="A162" s="1">
        <v>56</v>
      </c>
      <c r="B162" s="1" t="s">
        <v>3342</v>
      </c>
      <c r="C162" s="1">
        <v>10</v>
      </c>
      <c r="E162" s="40">
        <v>893</v>
      </c>
    </row>
    <row r="163" spans="1:5" ht="12.75" hidden="1" customHeight="1" x14ac:dyDescent="0.2">
      <c r="A163" s="1">
        <v>57</v>
      </c>
      <c r="B163" s="1" t="s">
        <v>3343</v>
      </c>
      <c r="C163" s="1">
        <v>10</v>
      </c>
      <c r="E163" s="40">
        <v>899</v>
      </c>
    </row>
    <row r="164" spans="1:5" ht="12.75" hidden="1" customHeight="1" x14ac:dyDescent="0.2">
      <c r="A164" s="1">
        <v>58</v>
      </c>
      <c r="B164" s="1" t="s">
        <v>3344</v>
      </c>
      <c r="C164" s="1">
        <v>11</v>
      </c>
      <c r="E164" s="40">
        <v>910</v>
      </c>
    </row>
    <row r="165" spans="1:5" ht="12.75" hidden="1" customHeight="1" x14ac:dyDescent="0.2">
      <c r="A165" s="1">
        <v>60</v>
      </c>
      <c r="B165" s="1" t="s">
        <v>3345</v>
      </c>
      <c r="C165" s="1">
        <v>20</v>
      </c>
      <c r="E165" s="40">
        <v>990</v>
      </c>
    </row>
    <row r="166" spans="1:5" ht="12.75" hidden="1" customHeight="1" x14ac:dyDescent="0.2">
      <c r="A166" s="1">
        <v>61</v>
      </c>
      <c r="B166" s="1" t="s">
        <v>3346</v>
      </c>
      <c r="C166" s="1">
        <v>8</v>
      </c>
      <c r="E166" s="40">
        <v>1011</v>
      </c>
    </row>
    <row r="167" spans="1:5" ht="12.75" hidden="1" customHeight="1" x14ac:dyDescent="0.2">
      <c r="A167" s="1">
        <v>63</v>
      </c>
      <c r="B167" s="1" t="s">
        <v>3347</v>
      </c>
      <c r="C167" s="1">
        <v>7</v>
      </c>
      <c r="E167" s="40">
        <v>1012</v>
      </c>
    </row>
    <row r="168" spans="1:5" ht="12.75" hidden="1" customHeight="1" x14ac:dyDescent="0.2">
      <c r="A168" s="1">
        <v>64</v>
      </c>
      <c r="B168" s="1" t="s">
        <v>3348</v>
      </c>
      <c r="C168" s="1">
        <v>14</v>
      </c>
      <c r="E168" s="40">
        <v>1013</v>
      </c>
    </row>
    <row r="169" spans="1:5" ht="12.75" hidden="1" customHeight="1" x14ac:dyDescent="0.2">
      <c r="A169" s="1">
        <v>65</v>
      </c>
      <c r="B169" s="1" t="s">
        <v>3349</v>
      </c>
      <c r="C169" s="1">
        <v>14</v>
      </c>
      <c r="E169" s="40">
        <v>1020</v>
      </c>
    </row>
    <row r="170" spans="1:5" ht="12.75" hidden="1" customHeight="1" x14ac:dyDescent="0.2">
      <c r="A170" s="1">
        <v>66</v>
      </c>
      <c r="B170" s="1" t="s">
        <v>2384</v>
      </c>
      <c r="C170" s="1">
        <v>14</v>
      </c>
      <c r="E170" s="40">
        <v>1031</v>
      </c>
    </row>
    <row r="171" spans="1:5" ht="12.75" hidden="1" customHeight="1" x14ac:dyDescent="0.2">
      <c r="A171" s="1">
        <v>67</v>
      </c>
      <c r="B171" s="1" t="s">
        <v>2385</v>
      </c>
      <c r="C171" s="1">
        <v>7</v>
      </c>
      <c r="E171" s="40">
        <v>1032</v>
      </c>
    </row>
    <row r="172" spans="1:5" ht="12.75" hidden="1" customHeight="1" x14ac:dyDescent="0.2">
      <c r="A172" s="1">
        <v>68</v>
      </c>
      <c r="B172" s="1" t="s">
        <v>2386</v>
      </c>
      <c r="C172" s="1">
        <v>12</v>
      </c>
      <c r="E172" s="40">
        <v>1039</v>
      </c>
    </row>
    <row r="173" spans="1:5" ht="12.75" hidden="1" customHeight="1" x14ac:dyDescent="0.2">
      <c r="A173" s="1">
        <v>69</v>
      </c>
      <c r="B173" s="1" t="s">
        <v>2387</v>
      </c>
      <c r="C173" s="1">
        <v>8</v>
      </c>
      <c r="E173" s="40">
        <v>1041</v>
      </c>
    </row>
    <row r="174" spans="1:5" ht="12.75" hidden="1" customHeight="1" x14ac:dyDescent="0.2">
      <c r="A174" s="1">
        <v>70</v>
      </c>
      <c r="B174" s="1" t="s">
        <v>2388</v>
      </c>
      <c r="C174" s="1">
        <v>2</v>
      </c>
      <c r="E174" s="40">
        <v>1042</v>
      </c>
    </row>
    <row r="175" spans="1:5" ht="12.75" hidden="1" customHeight="1" x14ac:dyDescent="0.2">
      <c r="A175" s="1">
        <v>71</v>
      </c>
      <c r="B175" s="1" t="s">
        <v>2389</v>
      </c>
      <c r="C175" s="1">
        <v>7</v>
      </c>
      <c r="E175" s="40">
        <v>1051</v>
      </c>
    </row>
    <row r="176" spans="1:5" ht="12.75" hidden="1" customHeight="1" x14ac:dyDescent="0.2">
      <c r="A176" s="1">
        <v>72</v>
      </c>
      <c r="B176" s="1" t="s">
        <v>2390</v>
      </c>
      <c r="C176" s="1">
        <v>17</v>
      </c>
      <c r="E176" s="40">
        <v>1052</v>
      </c>
    </row>
    <row r="177" spans="1:5" ht="12.75" hidden="1" customHeight="1" x14ac:dyDescent="0.2">
      <c r="A177" s="1">
        <v>74</v>
      </c>
      <c r="B177" s="1" t="s">
        <v>2391</v>
      </c>
      <c r="C177" s="1">
        <v>8</v>
      </c>
      <c r="E177" s="40">
        <v>1061</v>
      </c>
    </row>
    <row r="178" spans="1:5" ht="12.75" hidden="1" customHeight="1" x14ac:dyDescent="0.2">
      <c r="A178" s="1">
        <v>75</v>
      </c>
      <c r="B178" s="1" t="s">
        <v>2392</v>
      </c>
      <c r="C178" s="1">
        <v>20</v>
      </c>
      <c r="E178" s="40">
        <v>1062</v>
      </c>
    </row>
    <row r="179" spans="1:5" ht="12.75" hidden="1" customHeight="1" x14ac:dyDescent="0.2">
      <c r="A179" s="1">
        <v>77</v>
      </c>
      <c r="B179" s="1" t="s">
        <v>2393</v>
      </c>
      <c r="C179" s="1">
        <v>17</v>
      </c>
      <c r="E179" s="40">
        <v>1071</v>
      </c>
    </row>
    <row r="180" spans="1:5" ht="12.75" hidden="1" customHeight="1" x14ac:dyDescent="0.2">
      <c r="A180" s="1">
        <v>78</v>
      </c>
      <c r="B180" s="1" t="s">
        <v>2394</v>
      </c>
      <c r="C180" s="1">
        <v>20</v>
      </c>
      <c r="E180" s="40">
        <v>1072</v>
      </c>
    </row>
    <row r="181" spans="1:5" ht="12.75" hidden="1" customHeight="1" x14ac:dyDescent="0.2">
      <c r="A181" s="1">
        <v>79</v>
      </c>
      <c r="B181" s="1" t="s">
        <v>2395</v>
      </c>
      <c r="C181" s="1">
        <v>2</v>
      </c>
      <c r="E181" s="40">
        <v>1073</v>
      </c>
    </row>
    <row r="182" spans="1:5" ht="12.75" hidden="1" customHeight="1" x14ac:dyDescent="0.2">
      <c r="A182" s="1">
        <v>80</v>
      </c>
      <c r="B182" s="1" t="s">
        <v>2396</v>
      </c>
      <c r="C182" s="1">
        <v>5</v>
      </c>
      <c r="E182" s="40">
        <v>1081</v>
      </c>
    </row>
    <row r="183" spans="1:5" ht="12.75" hidden="1" customHeight="1" x14ac:dyDescent="0.2">
      <c r="A183" s="1">
        <v>81</v>
      </c>
      <c r="B183" s="1" t="s">
        <v>2397</v>
      </c>
      <c r="C183" s="1">
        <v>12</v>
      </c>
      <c r="E183" s="40">
        <v>1082</v>
      </c>
    </row>
    <row r="184" spans="1:5" ht="12.75" hidden="1" customHeight="1" x14ac:dyDescent="0.2">
      <c r="A184" s="1">
        <v>82</v>
      </c>
      <c r="B184" s="1" t="s">
        <v>4195</v>
      </c>
      <c r="C184" s="1">
        <v>20</v>
      </c>
      <c r="E184" s="40">
        <v>1083</v>
      </c>
    </row>
    <row r="185" spans="1:5" ht="12.75" hidden="1" customHeight="1" x14ac:dyDescent="0.2">
      <c r="A185" s="1">
        <v>83</v>
      </c>
      <c r="B185" s="1" t="s">
        <v>4196</v>
      </c>
      <c r="C185" s="1">
        <v>3</v>
      </c>
      <c r="E185" s="40">
        <v>1084</v>
      </c>
    </row>
    <row r="186" spans="1:5" ht="12.75" hidden="1" customHeight="1" x14ac:dyDescent="0.2">
      <c r="A186" s="1">
        <v>84</v>
      </c>
      <c r="B186" s="1" t="s">
        <v>4197</v>
      </c>
      <c r="C186" s="1">
        <v>9</v>
      </c>
      <c r="E186" s="40">
        <v>1085</v>
      </c>
    </row>
    <row r="187" spans="1:5" ht="12.75" hidden="1" customHeight="1" x14ac:dyDescent="0.2">
      <c r="A187" s="1">
        <v>85</v>
      </c>
      <c r="B187" s="1" t="s">
        <v>4198</v>
      </c>
      <c r="C187" s="1">
        <v>5</v>
      </c>
      <c r="E187" s="40">
        <v>1086</v>
      </c>
    </row>
    <row r="188" spans="1:5" ht="12.75" hidden="1" customHeight="1" x14ac:dyDescent="0.2">
      <c r="A188" s="1">
        <v>86</v>
      </c>
      <c r="B188" s="1" t="s">
        <v>4199</v>
      </c>
      <c r="C188" s="1">
        <v>14</v>
      </c>
      <c r="E188" s="40">
        <v>1089</v>
      </c>
    </row>
    <row r="189" spans="1:5" ht="12.75" hidden="1" customHeight="1" x14ac:dyDescent="0.2">
      <c r="A189" s="1">
        <v>87</v>
      </c>
      <c r="B189" s="1" t="s">
        <v>4200</v>
      </c>
      <c r="C189" s="1">
        <v>17</v>
      </c>
      <c r="E189" s="40">
        <v>1091</v>
      </c>
    </row>
    <row r="190" spans="1:5" ht="12.75" hidden="1" customHeight="1" x14ac:dyDescent="0.2">
      <c r="A190" s="1">
        <v>88</v>
      </c>
      <c r="B190" s="1" t="s">
        <v>4201</v>
      </c>
      <c r="C190" s="1">
        <v>17</v>
      </c>
      <c r="E190" s="40">
        <v>1092</v>
      </c>
    </row>
    <row r="191" spans="1:5" ht="12.75" hidden="1" customHeight="1" x14ac:dyDescent="0.2">
      <c r="A191" s="1">
        <v>89</v>
      </c>
      <c r="B191" s="1" t="s">
        <v>4202</v>
      </c>
      <c r="C191" s="1">
        <v>20</v>
      </c>
      <c r="E191" s="40">
        <v>1101</v>
      </c>
    </row>
    <row r="192" spans="1:5" ht="12.75" hidden="1" customHeight="1" x14ac:dyDescent="0.2">
      <c r="A192" s="1">
        <v>90</v>
      </c>
      <c r="B192" s="1" t="s">
        <v>4203</v>
      </c>
      <c r="C192" s="1">
        <v>4</v>
      </c>
      <c r="E192" s="40">
        <v>1102</v>
      </c>
    </row>
    <row r="193" spans="1:5" ht="12.75" hidden="1" customHeight="1" x14ac:dyDescent="0.2">
      <c r="A193" s="1">
        <v>91</v>
      </c>
      <c r="B193" s="1" t="s">
        <v>2546</v>
      </c>
      <c r="C193" s="1">
        <v>14</v>
      </c>
      <c r="E193" s="40">
        <v>1103</v>
      </c>
    </row>
    <row r="194" spans="1:5" ht="12.75" hidden="1" customHeight="1" x14ac:dyDescent="0.2">
      <c r="A194" s="1">
        <v>92</v>
      </c>
      <c r="B194" s="1" t="s">
        <v>2547</v>
      </c>
      <c r="C194" s="1">
        <v>16</v>
      </c>
      <c r="E194" s="40">
        <v>1104</v>
      </c>
    </row>
    <row r="195" spans="1:5" ht="12.75" hidden="1" customHeight="1" x14ac:dyDescent="0.2">
      <c r="A195" s="1">
        <v>94</v>
      </c>
      <c r="B195" s="1" t="s">
        <v>2548</v>
      </c>
      <c r="C195" s="1">
        <v>14</v>
      </c>
      <c r="E195" s="40">
        <v>1105</v>
      </c>
    </row>
    <row r="196" spans="1:5" ht="12.75" hidden="1" customHeight="1" x14ac:dyDescent="0.2">
      <c r="A196" s="1">
        <v>95</v>
      </c>
      <c r="B196" s="1" t="s">
        <v>2549</v>
      </c>
      <c r="C196" s="1">
        <v>15</v>
      </c>
      <c r="E196" s="40">
        <v>1106</v>
      </c>
    </row>
    <row r="197" spans="1:5" ht="12.75" hidden="1" customHeight="1" x14ac:dyDescent="0.2">
      <c r="A197" s="1">
        <v>96</v>
      </c>
      <c r="B197" s="1" t="s">
        <v>2550</v>
      </c>
      <c r="C197" s="1">
        <v>6</v>
      </c>
      <c r="E197" s="40">
        <v>1107</v>
      </c>
    </row>
    <row r="198" spans="1:5" ht="12.75" hidden="1" customHeight="1" x14ac:dyDescent="0.2">
      <c r="A198" s="1">
        <v>97</v>
      </c>
      <c r="B198" s="1" t="s">
        <v>2551</v>
      </c>
      <c r="C198" s="1">
        <v>1</v>
      </c>
      <c r="E198" s="40">
        <v>1200</v>
      </c>
    </row>
    <row r="199" spans="1:5" ht="12.75" hidden="1" customHeight="1" x14ac:dyDescent="0.2">
      <c r="A199" s="1">
        <v>98</v>
      </c>
      <c r="B199" s="1" t="s">
        <v>2552</v>
      </c>
      <c r="C199" s="1">
        <v>19</v>
      </c>
      <c r="E199" s="40">
        <v>1310</v>
      </c>
    </row>
    <row r="200" spans="1:5" ht="12.75" hidden="1" customHeight="1" x14ac:dyDescent="0.2">
      <c r="A200" s="1">
        <v>99</v>
      </c>
      <c r="B200" s="1" t="s">
        <v>2553</v>
      </c>
      <c r="C200" s="1">
        <v>4</v>
      </c>
      <c r="E200" s="40">
        <v>1320</v>
      </c>
    </row>
    <row r="201" spans="1:5" ht="12.75" hidden="1" customHeight="1" x14ac:dyDescent="0.2">
      <c r="A201" s="1">
        <v>100</v>
      </c>
      <c r="B201" s="1" t="s">
        <v>2554</v>
      </c>
      <c r="C201" s="1">
        <v>17</v>
      </c>
      <c r="E201" s="40">
        <v>1330</v>
      </c>
    </row>
    <row r="202" spans="1:5" ht="12.75" hidden="1" customHeight="1" x14ac:dyDescent="0.2">
      <c r="A202" s="1">
        <v>101</v>
      </c>
      <c r="B202" s="1" t="s">
        <v>2555</v>
      </c>
      <c r="C202" s="1">
        <v>1</v>
      </c>
      <c r="E202" s="40">
        <v>1391</v>
      </c>
    </row>
    <row r="203" spans="1:5" ht="12.75" hidden="1" customHeight="1" x14ac:dyDescent="0.2">
      <c r="A203" s="1">
        <v>102</v>
      </c>
      <c r="B203" s="1" t="s">
        <v>2556</v>
      </c>
      <c r="C203" s="1">
        <v>3</v>
      </c>
      <c r="E203" s="40">
        <v>1392</v>
      </c>
    </row>
    <row r="204" spans="1:5" ht="12.75" hidden="1" customHeight="1" x14ac:dyDescent="0.2">
      <c r="A204" s="1">
        <v>103</v>
      </c>
      <c r="B204" s="1" t="s">
        <v>3668</v>
      </c>
      <c r="C204" s="1">
        <v>14</v>
      </c>
      <c r="E204" s="40">
        <v>1393</v>
      </c>
    </row>
    <row r="205" spans="1:5" ht="12.75" hidden="1" customHeight="1" x14ac:dyDescent="0.2">
      <c r="A205" s="1">
        <v>104</v>
      </c>
      <c r="B205" s="1" t="s">
        <v>3669</v>
      </c>
      <c r="C205" s="1">
        <v>6</v>
      </c>
      <c r="E205" s="40">
        <v>1394</v>
      </c>
    </row>
    <row r="206" spans="1:5" ht="12.75" hidden="1" customHeight="1" x14ac:dyDescent="0.2">
      <c r="A206" s="1">
        <v>105</v>
      </c>
      <c r="B206" s="1" t="s">
        <v>3670</v>
      </c>
      <c r="C206" s="1">
        <v>7</v>
      </c>
      <c r="E206" s="40">
        <v>1395</v>
      </c>
    </row>
    <row r="207" spans="1:5" ht="12.75" hidden="1" customHeight="1" x14ac:dyDescent="0.2">
      <c r="A207" s="1">
        <v>106</v>
      </c>
      <c r="B207" s="1" t="s">
        <v>3671</v>
      </c>
      <c r="C207" s="1">
        <v>14</v>
      </c>
      <c r="E207" s="40">
        <v>1396</v>
      </c>
    </row>
    <row r="208" spans="1:5" ht="12.75" hidden="1" customHeight="1" x14ac:dyDescent="0.2">
      <c r="A208" s="1">
        <v>107</v>
      </c>
      <c r="B208" s="1" t="s">
        <v>3672</v>
      </c>
      <c r="C208" s="1">
        <v>6</v>
      </c>
      <c r="E208" s="40">
        <v>1399</v>
      </c>
    </row>
    <row r="209" spans="1:5" ht="12.75" hidden="1" customHeight="1" x14ac:dyDescent="0.2">
      <c r="A209" s="1">
        <v>108</v>
      </c>
      <c r="B209" s="1" t="s">
        <v>3673</v>
      </c>
      <c r="C209" s="1">
        <v>2</v>
      </c>
      <c r="E209" s="40">
        <v>1411</v>
      </c>
    </row>
    <row r="210" spans="1:5" ht="12.75" hidden="1" customHeight="1" x14ac:dyDescent="0.2">
      <c r="A210" s="1">
        <v>110</v>
      </c>
      <c r="B210" s="1" t="s">
        <v>3674</v>
      </c>
      <c r="C210" s="1">
        <v>14</v>
      </c>
      <c r="E210" s="40">
        <v>1412</v>
      </c>
    </row>
    <row r="211" spans="1:5" ht="12.75" hidden="1" customHeight="1" x14ac:dyDescent="0.2">
      <c r="A211" s="1">
        <v>111</v>
      </c>
      <c r="B211" s="1" t="s">
        <v>3094</v>
      </c>
      <c r="C211" s="1">
        <v>14</v>
      </c>
      <c r="E211" s="40">
        <v>1413</v>
      </c>
    </row>
    <row r="212" spans="1:5" ht="12.75" hidden="1" customHeight="1" x14ac:dyDescent="0.2">
      <c r="A212" s="1">
        <v>113</v>
      </c>
      <c r="B212" s="1" t="s">
        <v>3095</v>
      </c>
      <c r="C212" s="1">
        <v>15</v>
      </c>
      <c r="E212" s="40">
        <v>1414</v>
      </c>
    </row>
    <row r="213" spans="1:5" ht="12.75" hidden="1" customHeight="1" x14ac:dyDescent="0.2">
      <c r="A213" s="1">
        <v>114</v>
      </c>
      <c r="B213" s="1" t="s">
        <v>3096</v>
      </c>
      <c r="C213" s="1">
        <v>1</v>
      </c>
      <c r="E213" s="40">
        <v>1419</v>
      </c>
    </row>
    <row r="214" spans="1:5" ht="12.75" hidden="1" customHeight="1" x14ac:dyDescent="0.2">
      <c r="A214" s="1">
        <v>115</v>
      </c>
      <c r="B214" s="1" t="s">
        <v>3724</v>
      </c>
      <c r="C214" s="1">
        <v>6</v>
      </c>
      <c r="E214" s="40">
        <v>1420</v>
      </c>
    </row>
    <row r="215" spans="1:5" ht="12.75" hidden="1" customHeight="1" x14ac:dyDescent="0.2">
      <c r="A215" s="1">
        <v>116</v>
      </c>
      <c r="B215" s="1" t="s">
        <v>1550</v>
      </c>
      <c r="C215" s="1">
        <v>14</v>
      </c>
      <c r="E215" s="40">
        <v>1431</v>
      </c>
    </row>
    <row r="216" spans="1:5" ht="12.75" hidden="1" customHeight="1" x14ac:dyDescent="0.2">
      <c r="A216" s="1">
        <v>117</v>
      </c>
      <c r="B216" s="1" t="s">
        <v>1551</v>
      </c>
      <c r="C216" s="1">
        <v>8</v>
      </c>
      <c r="E216" s="40">
        <v>1439</v>
      </c>
    </row>
    <row r="217" spans="1:5" ht="12.75" hidden="1" customHeight="1" x14ac:dyDescent="0.2">
      <c r="A217" s="1">
        <v>118</v>
      </c>
      <c r="B217" s="1" t="s">
        <v>4226</v>
      </c>
      <c r="C217" s="1">
        <v>12</v>
      </c>
      <c r="E217" s="40">
        <v>1511</v>
      </c>
    </row>
    <row r="218" spans="1:5" ht="12.75" hidden="1" customHeight="1" x14ac:dyDescent="0.2">
      <c r="A218" s="1">
        <v>119</v>
      </c>
      <c r="B218" s="1" t="s">
        <v>4227</v>
      </c>
      <c r="C218" s="1">
        <v>7</v>
      </c>
      <c r="E218" s="40">
        <v>1512</v>
      </c>
    </row>
    <row r="219" spans="1:5" ht="12.75" hidden="1" customHeight="1" x14ac:dyDescent="0.2">
      <c r="A219" s="1">
        <v>120</v>
      </c>
      <c r="B219" s="1" t="s">
        <v>4228</v>
      </c>
      <c r="C219" s="1">
        <v>4</v>
      </c>
      <c r="E219" s="40">
        <v>1520</v>
      </c>
    </row>
    <row r="220" spans="1:5" ht="12.75" hidden="1" customHeight="1" x14ac:dyDescent="0.2">
      <c r="A220" s="1">
        <v>121</v>
      </c>
      <c r="B220" s="1" t="s">
        <v>4229</v>
      </c>
      <c r="C220" s="1">
        <v>3</v>
      </c>
      <c r="E220" s="40">
        <v>1610</v>
      </c>
    </row>
    <row r="221" spans="1:5" ht="12.75" hidden="1" customHeight="1" x14ac:dyDescent="0.2">
      <c r="A221" s="1">
        <v>122</v>
      </c>
      <c r="B221" s="1" t="s">
        <v>4230</v>
      </c>
      <c r="C221" s="1">
        <v>6</v>
      </c>
      <c r="E221" s="40">
        <v>1621</v>
      </c>
    </row>
    <row r="222" spans="1:5" ht="12.75" hidden="1" customHeight="1" x14ac:dyDescent="0.2">
      <c r="A222" s="1">
        <v>123</v>
      </c>
      <c r="B222" s="1" t="s">
        <v>4231</v>
      </c>
      <c r="C222" s="1">
        <v>20</v>
      </c>
      <c r="E222" s="40">
        <v>1622</v>
      </c>
    </row>
    <row r="223" spans="1:5" ht="12.75" hidden="1" customHeight="1" x14ac:dyDescent="0.2">
      <c r="A223" s="1">
        <v>124</v>
      </c>
      <c r="B223" s="1" t="s">
        <v>4232</v>
      </c>
      <c r="C223" s="1">
        <v>14</v>
      </c>
      <c r="E223" s="40">
        <v>1623</v>
      </c>
    </row>
    <row r="224" spans="1:5" ht="12.75" hidden="1" customHeight="1" x14ac:dyDescent="0.2">
      <c r="A224" s="1">
        <v>125</v>
      </c>
      <c r="B224" s="1" t="s">
        <v>4233</v>
      </c>
      <c r="C224" s="1">
        <v>2</v>
      </c>
      <c r="E224" s="40">
        <v>1624</v>
      </c>
    </row>
    <row r="225" spans="1:5" ht="12.75" hidden="1" customHeight="1" x14ac:dyDescent="0.2">
      <c r="A225" s="1">
        <v>127</v>
      </c>
      <c r="B225" s="1" t="s">
        <v>4234</v>
      </c>
      <c r="C225" s="1">
        <v>12</v>
      </c>
      <c r="E225" s="40">
        <v>1629</v>
      </c>
    </row>
    <row r="226" spans="1:5" ht="12.75" hidden="1" customHeight="1" x14ac:dyDescent="0.2">
      <c r="A226" s="1">
        <v>129</v>
      </c>
      <c r="B226" s="1" t="s">
        <v>4235</v>
      </c>
      <c r="C226" s="1">
        <v>5</v>
      </c>
      <c r="E226" s="40">
        <v>1711</v>
      </c>
    </row>
    <row r="227" spans="1:5" ht="12.75" hidden="1" customHeight="1" x14ac:dyDescent="0.2">
      <c r="A227" s="1">
        <v>130</v>
      </c>
      <c r="B227" s="1" t="s">
        <v>4236</v>
      </c>
      <c r="C227" s="1">
        <v>9</v>
      </c>
      <c r="E227" s="40">
        <v>1712</v>
      </c>
    </row>
    <row r="228" spans="1:5" ht="12.75" hidden="1" customHeight="1" x14ac:dyDescent="0.2">
      <c r="A228" s="1">
        <v>131</v>
      </c>
      <c r="B228" s="1" t="s">
        <v>4237</v>
      </c>
      <c r="C228" s="1">
        <v>13</v>
      </c>
      <c r="E228" s="40">
        <v>1721</v>
      </c>
    </row>
    <row r="229" spans="1:5" ht="12.75" hidden="1" customHeight="1" x14ac:dyDescent="0.2">
      <c r="A229" s="1">
        <v>132</v>
      </c>
      <c r="B229" s="1" t="s">
        <v>4238</v>
      </c>
      <c r="C229" s="1">
        <v>18</v>
      </c>
      <c r="E229" s="40">
        <v>1722</v>
      </c>
    </row>
    <row r="230" spans="1:5" ht="12.75" hidden="1" customHeight="1" x14ac:dyDescent="0.2">
      <c r="A230" s="1">
        <v>133</v>
      </c>
      <c r="B230" s="1" t="s">
        <v>4239</v>
      </c>
      <c r="C230" s="1">
        <v>21</v>
      </c>
      <c r="E230" s="40">
        <v>1723</v>
      </c>
    </row>
    <row r="231" spans="1:5" ht="12.75" hidden="1" customHeight="1" x14ac:dyDescent="0.2">
      <c r="A231" s="1">
        <v>134</v>
      </c>
      <c r="B231" s="1" t="s">
        <v>4240</v>
      </c>
      <c r="C231" s="1">
        <v>17</v>
      </c>
      <c r="E231" s="40">
        <v>1724</v>
      </c>
    </row>
    <row r="232" spans="1:5" ht="12.75" hidden="1" customHeight="1" x14ac:dyDescent="0.2">
      <c r="A232" s="1">
        <v>135</v>
      </c>
      <c r="B232" s="1" t="s">
        <v>4241</v>
      </c>
      <c r="C232" s="1">
        <v>1</v>
      </c>
      <c r="E232" s="40">
        <v>1729</v>
      </c>
    </row>
    <row r="233" spans="1:5" ht="12.75" hidden="1" customHeight="1" x14ac:dyDescent="0.2">
      <c r="A233" s="1">
        <v>136</v>
      </c>
      <c r="B233" s="1" t="s">
        <v>4242</v>
      </c>
      <c r="C233" s="1">
        <v>10</v>
      </c>
      <c r="E233" s="40">
        <v>1811</v>
      </c>
    </row>
    <row r="234" spans="1:5" ht="12.75" hidden="1" customHeight="1" x14ac:dyDescent="0.2">
      <c r="A234" s="1">
        <v>137</v>
      </c>
      <c r="B234" s="1" t="s">
        <v>4243</v>
      </c>
      <c r="C234" s="1">
        <v>16</v>
      </c>
      <c r="E234" s="40">
        <v>1812</v>
      </c>
    </row>
    <row r="235" spans="1:5" ht="12.75" hidden="1" customHeight="1" x14ac:dyDescent="0.2">
      <c r="A235" s="1">
        <v>138</v>
      </c>
      <c r="B235" s="1" t="s">
        <v>518</v>
      </c>
      <c r="C235" s="1">
        <v>18</v>
      </c>
      <c r="E235" s="40">
        <v>1813</v>
      </c>
    </row>
    <row r="236" spans="1:5" ht="12.75" hidden="1" customHeight="1" x14ac:dyDescent="0.2">
      <c r="A236" s="1">
        <v>139</v>
      </c>
      <c r="B236" s="1" t="s">
        <v>519</v>
      </c>
      <c r="C236" s="1">
        <v>7</v>
      </c>
      <c r="E236" s="40">
        <v>1814</v>
      </c>
    </row>
    <row r="237" spans="1:5" ht="12.75" hidden="1" customHeight="1" x14ac:dyDescent="0.2">
      <c r="A237" s="1">
        <v>140</v>
      </c>
      <c r="B237" s="1" t="s">
        <v>520</v>
      </c>
      <c r="C237" s="1">
        <v>12</v>
      </c>
      <c r="E237" s="40">
        <v>1820</v>
      </c>
    </row>
    <row r="238" spans="1:5" ht="12.75" hidden="1" customHeight="1" x14ac:dyDescent="0.2">
      <c r="A238" s="1">
        <v>141</v>
      </c>
      <c r="B238" s="1" t="s">
        <v>521</v>
      </c>
      <c r="C238" s="1">
        <v>16</v>
      </c>
      <c r="E238" s="40">
        <v>1910</v>
      </c>
    </row>
    <row r="239" spans="1:5" ht="12.75" hidden="1" customHeight="1" x14ac:dyDescent="0.2">
      <c r="A239" s="1">
        <v>144</v>
      </c>
      <c r="B239" s="1" t="s">
        <v>522</v>
      </c>
      <c r="C239" s="1">
        <v>7</v>
      </c>
      <c r="E239" s="40">
        <v>1920</v>
      </c>
    </row>
    <row r="240" spans="1:5" ht="12.75" hidden="1" customHeight="1" x14ac:dyDescent="0.2">
      <c r="A240" s="1">
        <v>145</v>
      </c>
      <c r="B240" s="1" t="s">
        <v>523</v>
      </c>
      <c r="C240" s="1">
        <v>6</v>
      </c>
      <c r="E240" s="40">
        <v>2011</v>
      </c>
    </row>
    <row r="241" spans="1:5" ht="12.75" hidden="1" customHeight="1" x14ac:dyDescent="0.2">
      <c r="A241" s="1">
        <v>146</v>
      </c>
      <c r="B241" s="1" t="s">
        <v>524</v>
      </c>
      <c r="C241" s="1">
        <v>2</v>
      </c>
      <c r="E241" s="40">
        <v>2012</v>
      </c>
    </row>
    <row r="242" spans="1:5" ht="12.75" hidden="1" customHeight="1" x14ac:dyDescent="0.2">
      <c r="A242" s="1">
        <v>148</v>
      </c>
      <c r="B242" s="1" t="s">
        <v>525</v>
      </c>
      <c r="C242" s="1">
        <v>17</v>
      </c>
      <c r="E242" s="40">
        <v>2013</v>
      </c>
    </row>
    <row r="243" spans="1:5" ht="12.75" hidden="1" customHeight="1" x14ac:dyDescent="0.2">
      <c r="A243" s="1">
        <v>149</v>
      </c>
      <c r="B243" s="1" t="s">
        <v>526</v>
      </c>
      <c r="C243" s="1">
        <v>3</v>
      </c>
      <c r="E243" s="40">
        <v>2014</v>
      </c>
    </row>
    <row r="244" spans="1:5" ht="12.75" hidden="1" customHeight="1" x14ac:dyDescent="0.2">
      <c r="A244" s="1">
        <v>150</v>
      </c>
      <c r="B244" s="1" t="s">
        <v>902</v>
      </c>
      <c r="C244" s="1">
        <v>3</v>
      </c>
      <c r="E244" s="40">
        <v>2015</v>
      </c>
    </row>
    <row r="245" spans="1:5" ht="12.75" hidden="1" customHeight="1" x14ac:dyDescent="0.2">
      <c r="A245" s="1">
        <v>151</v>
      </c>
      <c r="B245" s="1" t="s">
        <v>903</v>
      </c>
      <c r="C245" s="1">
        <v>5</v>
      </c>
      <c r="E245" s="40">
        <v>2016</v>
      </c>
    </row>
    <row r="246" spans="1:5" ht="12.75" hidden="1" customHeight="1" x14ac:dyDescent="0.2">
      <c r="A246" s="1">
        <v>152</v>
      </c>
      <c r="B246" s="1" t="s">
        <v>904</v>
      </c>
      <c r="C246" s="1">
        <v>2</v>
      </c>
      <c r="E246" s="40">
        <v>2017</v>
      </c>
    </row>
    <row r="247" spans="1:5" ht="12.75" hidden="1" customHeight="1" x14ac:dyDescent="0.2">
      <c r="A247" s="1">
        <v>153</v>
      </c>
      <c r="B247" s="1" t="s">
        <v>905</v>
      </c>
      <c r="C247" s="1">
        <v>17</v>
      </c>
      <c r="E247" s="40">
        <v>2020</v>
      </c>
    </row>
    <row r="248" spans="1:5" ht="12.75" hidden="1" customHeight="1" x14ac:dyDescent="0.2">
      <c r="A248" s="1">
        <v>154</v>
      </c>
      <c r="B248" s="1" t="s">
        <v>906</v>
      </c>
      <c r="C248" s="1">
        <v>16</v>
      </c>
      <c r="E248" s="40">
        <v>2030</v>
      </c>
    </row>
    <row r="249" spans="1:5" ht="12.75" hidden="1" customHeight="1" x14ac:dyDescent="0.2">
      <c r="A249" s="1">
        <v>155</v>
      </c>
      <c r="B249" s="1" t="s">
        <v>907</v>
      </c>
      <c r="C249" s="1">
        <v>17</v>
      </c>
      <c r="E249" s="40">
        <v>2041</v>
      </c>
    </row>
    <row r="250" spans="1:5" ht="12.75" hidden="1" customHeight="1" x14ac:dyDescent="0.2">
      <c r="A250" s="1">
        <v>156</v>
      </c>
      <c r="B250" s="1" t="s">
        <v>908</v>
      </c>
      <c r="C250" s="1">
        <v>5</v>
      </c>
      <c r="E250" s="40">
        <v>2042</v>
      </c>
    </row>
    <row r="251" spans="1:5" ht="12.75" hidden="1" customHeight="1" x14ac:dyDescent="0.2">
      <c r="A251" s="1">
        <v>158</v>
      </c>
      <c r="B251" s="1" t="s">
        <v>909</v>
      </c>
      <c r="C251" s="1">
        <v>1</v>
      </c>
      <c r="E251" s="40">
        <v>2051</v>
      </c>
    </row>
    <row r="252" spans="1:5" ht="12.75" hidden="1" customHeight="1" x14ac:dyDescent="0.2">
      <c r="A252" s="1">
        <v>159</v>
      </c>
      <c r="B252" s="1" t="s">
        <v>910</v>
      </c>
      <c r="C252" s="1">
        <v>16</v>
      </c>
      <c r="E252" s="40">
        <v>2052</v>
      </c>
    </row>
    <row r="253" spans="1:5" ht="12.75" hidden="1" customHeight="1" x14ac:dyDescent="0.2">
      <c r="A253" s="1">
        <v>161</v>
      </c>
      <c r="B253" s="1" t="s">
        <v>911</v>
      </c>
      <c r="C253" s="1">
        <v>7</v>
      </c>
      <c r="E253" s="40">
        <v>2053</v>
      </c>
    </row>
    <row r="254" spans="1:5" ht="12.75" hidden="1" customHeight="1" x14ac:dyDescent="0.2">
      <c r="A254" s="1">
        <v>163</v>
      </c>
      <c r="B254" s="1" t="s">
        <v>912</v>
      </c>
      <c r="C254" s="1">
        <v>1</v>
      </c>
      <c r="E254" s="40">
        <v>2059</v>
      </c>
    </row>
    <row r="255" spans="1:5" ht="12.75" hidden="1" customHeight="1" x14ac:dyDescent="0.2">
      <c r="A255" s="1">
        <v>164</v>
      </c>
      <c r="B255" s="1" t="s">
        <v>913</v>
      </c>
      <c r="C255" s="1">
        <v>11</v>
      </c>
      <c r="E255" s="40">
        <v>2060</v>
      </c>
    </row>
    <row r="256" spans="1:5" ht="12.75" hidden="1" customHeight="1" x14ac:dyDescent="0.2">
      <c r="A256" s="1">
        <v>165</v>
      </c>
      <c r="B256" s="1" t="s">
        <v>914</v>
      </c>
      <c r="C256" s="1">
        <v>5</v>
      </c>
      <c r="E256" s="40">
        <v>2110</v>
      </c>
    </row>
    <row r="257" spans="1:5" ht="12.75" hidden="1" customHeight="1" x14ac:dyDescent="0.2">
      <c r="A257" s="1">
        <v>166</v>
      </c>
      <c r="B257" s="1" t="s">
        <v>915</v>
      </c>
      <c r="C257" s="1">
        <v>16</v>
      </c>
      <c r="E257" s="40">
        <v>2120</v>
      </c>
    </row>
    <row r="258" spans="1:5" ht="12.75" hidden="1" customHeight="1" x14ac:dyDescent="0.2">
      <c r="A258" s="1">
        <v>167</v>
      </c>
      <c r="B258" s="1" t="s">
        <v>3217</v>
      </c>
      <c r="C258" s="1">
        <v>13</v>
      </c>
      <c r="E258" s="40">
        <v>2211</v>
      </c>
    </row>
    <row r="259" spans="1:5" ht="12.75" hidden="1" customHeight="1" x14ac:dyDescent="0.2">
      <c r="A259" s="1">
        <v>168</v>
      </c>
      <c r="B259" s="1" t="s">
        <v>3218</v>
      </c>
      <c r="C259" s="1">
        <v>3</v>
      </c>
      <c r="E259" s="40">
        <v>2219</v>
      </c>
    </row>
    <row r="260" spans="1:5" ht="12.75" hidden="1" customHeight="1" x14ac:dyDescent="0.2">
      <c r="A260" s="1">
        <v>169</v>
      </c>
      <c r="B260" s="1" t="s">
        <v>2797</v>
      </c>
      <c r="C260" s="1">
        <v>1</v>
      </c>
      <c r="E260" s="40">
        <v>2221</v>
      </c>
    </row>
    <row r="261" spans="1:5" ht="12.75" hidden="1" customHeight="1" x14ac:dyDescent="0.2">
      <c r="A261" s="1">
        <v>170</v>
      </c>
      <c r="B261" s="1" t="s">
        <v>2798</v>
      </c>
      <c r="C261" s="1">
        <v>8</v>
      </c>
      <c r="E261" s="40">
        <v>2222</v>
      </c>
    </row>
    <row r="262" spans="1:5" ht="12.75" hidden="1" customHeight="1" x14ac:dyDescent="0.2">
      <c r="A262" s="1">
        <v>171</v>
      </c>
      <c r="B262" s="1" t="s">
        <v>2799</v>
      </c>
      <c r="C262" s="1">
        <v>17</v>
      </c>
      <c r="E262" s="40">
        <v>2223</v>
      </c>
    </row>
    <row r="263" spans="1:5" ht="12.75" hidden="1" customHeight="1" x14ac:dyDescent="0.2">
      <c r="A263" s="1">
        <v>172</v>
      </c>
      <c r="B263" s="1" t="s">
        <v>2800</v>
      </c>
      <c r="C263" s="1">
        <v>4</v>
      </c>
      <c r="E263" s="40">
        <v>2229</v>
      </c>
    </row>
    <row r="264" spans="1:5" ht="12.75" hidden="1" customHeight="1" x14ac:dyDescent="0.2">
      <c r="A264" s="1">
        <v>173</v>
      </c>
      <c r="B264" s="1" t="s">
        <v>2801</v>
      </c>
      <c r="C264" s="1">
        <v>13</v>
      </c>
      <c r="E264" s="40">
        <v>2311</v>
      </c>
    </row>
    <row r="265" spans="1:5" ht="12.75" hidden="1" customHeight="1" x14ac:dyDescent="0.2">
      <c r="A265" s="1">
        <v>175</v>
      </c>
      <c r="B265" s="1" t="s">
        <v>2802</v>
      </c>
      <c r="C265" s="1">
        <v>18</v>
      </c>
      <c r="E265" s="40">
        <v>2312</v>
      </c>
    </row>
    <row r="266" spans="1:5" ht="12.75" hidden="1" customHeight="1" x14ac:dyDescent="0.2">
      <c r="A266" s="1">
        <v>176</v>
      </c>
      <c r="B266" s="1" t="s">
        <v>2803</v>
      </c>
      <c r="C266" s="1">
        <v>7</v>
      </c>
      <c r="E266" s="40">
        <v>2313</v>
      </c>
    </row>
    <row r="267" spans="1:5" ht="12.75" hidden="1" customHeight="1" x14ac:dyDescent="0.2">
      <c r="A267" s="1">
        <v>177</v>
      </c>
      <c r="B267" s="1" t="s">
        <v>2804</v>
      </c>
      <c r="C267" s="1">
        <v>11</v>
      </c>
      <c r="E267" s="40">
        <v>2314</v>
      </c>
    </row>
    <row r="268" spans="1:5" ht="12.75" hidden="1" customHeight="1" x14ac:dyDescent="0.2">
      <c r="A268" s="1">
        <v>178</v>
      </c>
      <c r="B268" s="1" t="s">
        <v>2805</v>
      </c>
      <c r="C268" s="1">
        <v>9</v>
      </c>
      <c r="E268" s="40">
        <v>2319</v>
      </c>
    </row>
    <row r="269" spans="1:5" ht="12.75" hidden="1" customHeight="1" x14ac:dyDescent="0.2">
      <c r="A269" s="1">
        <v>179</v>
      </c>
      <c r="B269" s="1" t="s">
        <v>2806</v>
      </c>
      <c r="C269" s="1">
        <v>4</v>
      </c>
      <c r="E269" s="40">
        <v>2320</v>
      </c>
    </row>
    <row r="270" spans="1:5" ht="12.75" hidden="1" customHeight="1" x14ac:dyDescent="0.2">
      <c r="A270" s="1">
        <v>180</v>
      </c>
      <c r="B270" s="1" t="s">
        <v>2807</v>
      </c>
      <c r="C270" s="1">
        <v>8</v>
      </c>
      <c r="E270" s="40">
        <v>2331</v>
      </c>
    </row>
    <row r="271" spans="1:5" ht="12.75" hidden="1" customHeight="1" x14ac:dyDescent="0.2">
      <c r="A271" s="1">
        <v>181</v>
      </c>
      <c r="B271" s="1" t="s">
        <v>2808</v>
      </c>
      <c r="C271" s="1">
        <v>17</v>
      </c>
      <c r="E271" s="40">
        <v>2332</v>
      </c>
    </row>
    <row r="272" spans="1:5" ht="12.75" hidden="1" customHeight="1" x14ac:dyDescent="0.2">
      <c r="A272" s="1">
        <v>183</v>
      </c>
      <c r="B272" s="1" t="s">
        <v>2809</v>
      </c>
      <c r="C272" s="1">
        <v>15</v>
      </c>
      <c r="E272" s="40">
        <v>2341</v>
      </c>
    </row>
    <row r="273" spans="1:5" ht="12.75" hidden="1" customHeight="1" x14ac:dyDescent="0.2">
      <c r="A273" s="1">
        <v>184</v>
      </c>
      <c r="B273" s="1" t="s">
        <v>2078</v>
      </c>
      <c r="C273" s="1">
        <v>15</v>
      </c>
      <c r="E273" s="40">
        <v>2342</v>
      </c>
    </row>
    <row r="274" spans="1:5" ht="12.75" hidden="1" customHeight="1" x14ac:dyDescent="0.2">
      <c r="A274" s="1">
        <v>185</v>
      </c>
      <c r="B274" s="1" t="s">
        <v>2079</v>
      </c>
      <c r="C274" s="1">
        <v>12</v>
      </c>
      <c r="E274" s="40">
        <v>2343</v>
      </c>
    </row>
    <row r="275" spans="1:5" ht="12.75" hidden="1" customHeight="1" x14ac:dyDescent="0.2">
      <c r="A275" s="1">
        <v>186</v>
      </c>
      <c r="B275" s="1" t="s">
        <v>2080</v>
      </c>
      <c r="C275" s="1">
        <v>8</v>
      </c>
      <c r="E275" s="40">
        <v>2344</v>
      </c>
    </row>
    <row r="276" spans="1:5" ht="12.75" hidden="1" customHeight="1" x14ac:dyDescent="0.2">
      <c r="A276" s="1">
        <v>187</v>
      </c>
      <c r="B276" s="1" t="s">
        <v>875</v>
      </c>
      <c r="C276" s="1">
        <v>2</v>
      </c>
      <c r="E276" s="40">
        <v>2349</v>
      </c>
    </row>
    <row r="277" spans="1:5" ht="12.75" hidden="1" customHeight="1" x14ac:dyDescent="0.2">
      <c r="A277" s="1">
        <v>189</v>
      </c>
      <c r="B277" s="1" t="s">
        <v>2342</v>
      </c>
      <c r="C277" s="1">
        <v>5</v>
      </c>
      <c r="E277" s="40">
        <v>2351</v>
      </c>
    </row>
    <row r="278" spans="1:5" ht="12.75" hidden="1" customHeight="1" x14ac:dyDescent="0.2">
      <c r="A278" s="1">
        <v>190</v>
      </c>
      <c r="B278" s="1" t="s">
        <v>2343</v>
      </c>
      <c r="C278" s="1">
        <v>1</v>
      </c>
      <c r="E278" s="40">
        <v>2352</v>
      </c>
    </row>
    <row r="279" spans="1:5" ht="12.75" hidden="1" customHeight="1" x14ac:dyDescent="0.2">
      <c r="A279" s="1">
        <v>192</v>
      </c>
      <c r="B279" s="1" t="s">
        <v>2344</v>
      </c>
      <c r="C279" s="1">
        <v>17</v>
      </c>
      <c r="E279" s="40">
        <v>2361</v>
      </c>
    </row>
    <row r="280" spans="1:5" ht="12.75" hidden="1" customHeight="1" x14ac:dyDescent="0.2">
      <c r="A280" s="1">
        <v>193</v>
      </c>
      <c r="B280" s="1" t="s">
        <v>2621</v>
      </c>
      <c r="C280" s="1">
        <v>1</v>
      </c>
      <c r="E280" s="40">
        <v>2362</v>
      </c>
    </row>
    <row r="281" spans="1:5" ht="12.75" hidden="1" customHeight="1" x14ac:dyDescent="0.2">
      <c r="A281" s="1">
        <v>194</v>
      </c>
      <c r="B281" s="1" t="s">
        <v>3876</v>
      </c>
      <c r="C281" s="1">
        <v>6</v>
      </c>
      <c r="E281" s="40">
        <v>2363</v>
      </c>
    </row>
    <row r="282" spans="1:5" ht="12.75" hidden="1" customHeight="1" x14ac:dyDescent="0.2">
      <c r="A282" s="1">
        <v>195</v>
      </c>
      <c r="B282" s="1" t="s">
        <v>3877</v>
      </c>
      <c r="C282" s="1">
        <v>14</v>
      </c>
      <c r="E282" s="40">
        <v>2364</v>
      </c>
    </row>
    <row r="283" spans="1:5" ht="12.75" hidden="1" customHeight="1" x14ac:dyDescent="0.2">
      <c r="A283" s="1">
        <v>196</v>
      </c>
      <c r="B283" s="1" t="s">
        <v>3350</v>
      </c>
      <c r="C283" s="1">
        <v>15</v>
      </c>
      <c r="E283" s="40">
        <v>2365</v>
      </c>
    </row>
    <row r="284" spans="1:5" ht="12.75" hidden="1" customHeight="1" x14ac:dyDescent="0.2">
      <c r="A284" s="1">
        <v>197</v>
      </c>
      <c r="B284" s="1" t="s">
        <v>3351</v>
      </c>
      <c r="C284" s="1">
        <v>17</v>
      </c>
      <c r="E284" s="40">
        <v>2369</v>
      </c>
    </row>
    <row r="285" spans="1:5" ht="12.75" hidden="1" customHeight="1" x14ac:dyDescent="0.2">
      <c r="A285" s="1">
        <v>198</v>
      </c>
      <c r="B285" s="1" t="s">
        <v>1661</v>
      </c>
      <c r="C285" s="1">
        <v>19</v>
      </c>
      <c r="E285" s="40">
        <v>2370</v>
      </c>
    </row>
    <row r="286" spans="1:5" ht="12.75" hidden="1" customHeight="1" x14ac:dyDescent="0.2">
      <c r="A286" s="1">
        <v>199</v>
      </c>
      <c r="B286" s="1" t="s">
        <v>1662</v>
      </c>
      <c r="C286" s="1">
        <v>7</v>
      </c>
      <c r="E286" s="40">
        <v>2391</v>
      </c>
    </row>
    <row r="287" spans="1:5" ht="12.75" hidden="1" customHeight="1" x14ac:dyDescent="0.2">
      <c r="A287" s="1">
        <v>200</v>
      </c>
      <c r="B287" s="1" t="s">
        <v>1663</v>
      </c>
      <c r="C287" s="1">
        <v>2</v>
      </c>
      <c r="E287" s="40">
        <v>2399</v>
      </c>
    </row>
    <row r="288" spans="1:5" ht="12.75" hidden="1" customHeight="1" x14ac:dyDescent="0.2">
      <c r="A288" s="1">
        <v>201</v>
      </c>
      <c r="B288" s="1" t="s">
        <v>1664</v>
      </c>
      <c r="C288" s="1">
        <v>6</v>
      </c>
      <c r="E288" s="40">
        <v>2410</v>
      </c>
    </row>
    <row r="289" spans="1:5" ht="12.75" hidden="1" customHeight="1" x14ac:dyDescent="0.2">
      <c r="A289" s="1">
        <v>202</v>
      </c>
      <c r="B289" s="1" t="s">
        <v>1665</v>
      </c>
      <c r="C289" s="1">
        <v>6</v>
      </c>
      <c r="E289" s="40">
        <v>2420</v>
      </c>
    </row>
    <row r="290" spans="1:5" ht="12.75" hidden="1" customHeight="1" x14ac:dyDescent="0.2">
      <c r="A290" s="1">
        <v>203</v>
      </c>
      <c r="B290" s="1" t="s">
        <v>1666</v>
      </c>
      <c r="C290" s="1">
        <v>6</v>
      </c>
      <c r="E290" s="40">
        <v>2431</v>
      </c>
    </row>
    <row r="291" spans="1:5" ht="12.75" hidden="1" customHeight="1" x14ac:dyDescent="0.2">
      <c r="A291" s="1">
        <v>204</v>
      </c>
      <c r="B291" s="1" t="s">
        <v>1667</v>
      </c>
      <c r="C291" s="1">
        <v>19</v>
      </c>
      <c r="E291" s="40">
        <v>2432</v>
      </c>
    </row>
    <row r="292" spans="1:5" ht="12.75" hidden="1" customHeight="1" x14ac:dyDescent="0.2">
      <c r="A292" s="1">
        <v>205</v>
      </c>
      <c r="B292" s="1" t="s">
        <v>1668</v>
      </c>
      <c r="C292" s="1">
        <v>14</v>
      </c>
      <c r="E292" s="40">
        <v>2433</v>
      </c>
    </row>
    <row r="293" spans="1:5" ht="12.75" hidden="1" customHeight="1" x14ac:dyDescent="0.2">
      <c r="A293" s="1">
        <v>206</v>
      </c>
      <c r="B293" s="1" t="s">
        <v>1669</v>
      </c>
      <c r="C293" s="1">
        <v>20</v>
      </c>
      <c r="E293" s="40">
        <v>2434</v>
      </c>
    </row>
    <row r="294" spans="1:5" ht="12.75" hidden="1" customHeight="1" x14ac:dyDescent="0.2">
      <c r="A294" s="1">
        <v>208</v>
      </c>
      <c r="B294" s="1" t="s">
        <v>1670</v>
      </c>
      <c r="C294" s="1">
        <v>2</v>
      </c>
      <c r="E294" s="40">
        <v>2441</v>
      </c>
    </row>
    <row r="295" spans="1:5" ht="12.75" hidden="1" customHeight="1" x14ac:dyDescent="0.2">
      <c r="A295" s="1">
        <v>209</v>
      </c>
      <c r="B295" s="1" t="s">
        <v>1671</v>
      </c>
      <c r="C295" s="1">
        <v>8</v>
      </c>
      <c r="E295" s="40">
        <v>2442</v>
      </c>
    </row>
    <row r="296" spans="1:5" ht="12.75" hidden="1" customHeight="1" x14ac:dyDescent="0.2">
      <c r="A296" s="1">
        <v>211</v>
      </c>
      <c r="B296" s="1" t="s">
        <v>1672</v>
      </c>
      <c r="C296" s="1">
        <v>2</v>
      </c>
      <c r="E296" s="40">
        <v>2443</v>
      </c>
    </row>
    <row r="297" spans="1:5" ht="12.75" hidden="1" customHeight="1" x14ac:dyDescent="0.2">
      <c r="A297" s="1">
        <v>212</v>
      </c>
      <c r="B297" s="1" t="s">
        <v>1673</v>
      </c>
      <c r="C297" s="1">
        <v>2</v>
      </c>
      <c r="E297" s="40">
        <v>2444</v>
      </c>
    </row>
    <row r="298" spans="1:5" ht="12.75" hidden="1" customHeight="1" x14ac:dyDescent="0.2">
      <c r="A298" s="1">
        <v>213</v>
      </c>
      <c r="B298" s="1" t="s">
        <v>1674</v>
      </c>
      <c r="C298" s="1">
        <v>1</v>
      </c>
      <c r="E298" s="40">
        <v>2445</v>
      </c>
    </row>
    <row r="299" spans="1:5" ht="12.75" hidden="1" customHeight="1" x14ac:dyDescent="0.2">
      <c r="A299" s="1">
        <v>214</v>
      </c>
      <c r="B299" s="1" t="s">
        <v>1675</v>
      </c>
      <c r="C299" s="1">
        <v>6</v>
      </c>
      <c r="E299" s="40">
        <v>2446</v>
      </c>
    </row>
    <row r="300" spans="1:5" ht="12.75" hidden="1" customHeight="1" x14ac:dyDescent="0.2">
      <c r="A300" s="1">
        <v>215</v>
      </c>
      <c r="B300" s="1" t="s">
        <v>1676</v>
      </c>
      <c r="C300" s="1">
        <v>8</v>
      </c>
      <c r="E300" s="40">
        <v>2451</v>
      </c>
    </row>
    <row r="301" spans="1:5" ht="12.75" hidden="1" customHeight="1" x14ac:dyDescent="0.2">
      <c r="A301" s="1">
        <v>216</v>
      </c>
      <c r="B301" s="1" t="s">
        <v>1677</v>
      </c>
      <c r="C301" s="1">
        <v>4</v>
      </c>
      <c r="E301" s="40">
        <v>2452</v>
      </c>
    </row>
    <row r="302" spans="1:5" ht="12.75" hidden="1" customHeight="1" x14ac:dyDescent="0.2">
      <c r="A302" s="1">
        <v>217</v>
      </c>
      <c r="B302" s="1" t="s">
        <v>1678</v>
      </c>
      <c r="C302" s="1">
        <v>18</v>
      </c>
      <c r="E302" s="40">
        <v>2453</v>
      </c>
    </row>
    <row r="303" spans="1:5" ht="12.75" hidden="1" customHeight="1" x14ac:dyDescent="0.2">
      <c r="A303" s="1">
        <v>219</v>
      </c>
      <c r="B303" s="1" t="s">
        <v>3527</v>
      </c>
      <c r="C303" s="1">
        <v>19</v>
      </c>
      <c r="E303" s="40">
        <v>2454</v>
      </c>
    </row>
    <row r="304" spans="1:5" ht="12.75" hidden="1" customHeight="1" x14ac:dyDescent="0.2">
      <c r="A304" s="1">
        <v>220</v>
      </c>
      <c r="B304" s="1" t="s">
        <v>3528</v>
      </c>
      <c r="C304" s="1">
        <v>3</v>
      </c>
      <c r="E304" s="40">
        <v>2511</v>
      </c>
    </row>
    <row r="305" spans="1:5" ht="12.75" hidden="1" customHeight="1" x14ac:dyDescent="0.2">
      <c r="A305" s="1">
        <v>221</v>
      </c>
      <c r="B305" s="1" t="s">
        <v>3529</v>
      </c>
      <c r="C305" s="1">
        <v>11</v>
      </c>
      <c r="E305" s="40">
        <v>2512</v>
      </c>
    </row>
    <row r="306" spans="1:5" ht="12.75" hidden="1" customHeight="1" x14ac:dyDescent="0.2">
      <c r="A306" s="1">
        <v>222</v>
      </c>
      <c r="B306" s="1" t="s">
        <v>3530</v>
      </c>
      <c r="C306" s="1">
        <v>18</v>
      </c>
      <c r="E306" s="40">
        <v>2521</v>
      </c>
    </row>
    <row r="307" spans="1:5" ht="12.75" hidden="1" customHeight="1" x14ac:dyDescent="0.2">
      <c r="A307" s="1">
        <v>223</v>
      </c>
      <c r="B307" s="1" t="s">
        <v>3531</v>
      </c>
      <c r="C307" s="1">
        <v>18</v>
      </c>
      <c r="E307" s="40">
        <v>2529</v>
      </c>
    </row>
    <row r="308" spans="1:5" ht="12.75" hidden="1" customHeight="1" x14ac:dyDescent="0.2">
      <c r="A308" s="1">
        <v>225</v>
      </c>
      <c r="B308" s="1" t="s">
        <v>3532</v>
      </c>
      <c r="C308" s="1">
        <v>4</v>
      </c>
      <c r="E308" s="40">
        <v>2530</v>
      </c>
    </row>
    <row r="309" spans="1:5" ht="12.75" hidden="1" customHeight="1" x14ac:dyDescent="0.2">
      <c r="A309" s="1">
        <v>226</v>
      </c>
      <c r="B309" s="1" t="s">
        <v>3533</v>
      </c>
      <c r="C309" s="1">
        <v>19</v>
      </c>
      <c r="E309" s="40">
        <v>2540</v>
      </c>
    </row>
    <row r="310" spans="1:5" ht="12.75" hidden="1" customHeight="1" x14ac:dyDescent="0.2">
      <c r="A310" s="1">
        <v>227</v>
      </c>
      <c r="B310" s="1" t="s">
        <v>3534</v>
      </c>
      <c r="C310" s="1">
        <v>6</v>
      </c>
      <c r="E310" s="40">
        <v>2550</v>
      </c>
    </row>
    <row r="311" spans="1:5" ht="12.75" hidden="1" customHeight="1" x14ac:dyDescent="0.2">
      <c r="A311" s="1">
        <v>228</v>
      </c>
      <c r="B311" s="1" t="s">
        <v>3535</v>
      </c>
      <c r="C311" s="1">
        <v>3</v>
      </c>
      <c r="E311" s="40">
        <v>2561</v>
      </c>
    </row>
    <row r="312" spans="1:5" ht="12.75" hidden="1" customHeight="1" x14ac:dyDescent="0.2">
      <c r="A312" s="1">
        <v>229</v>
      </c>
      <c r="B312" s="1" t="s">
        <v>3536</v>
      </c>
      <c r="C312" s="1">
        <v>5</v>
      </c>
      <c r="E312" s="40">
        <v>2562</v>
      </c>
    </row>
    <row r="313" spans="1:5" ht="12.75" hidden="1" customHeight="1" x14ac:dyDescent="0.2">
      <c r="A313" s="1">
        <v>230</v>
      </c>
      <c r="B313" s="1" t="s">
        <v>3537</v>
      </c>
      <c r="C313" s="1">
        <v>14</v>
      </c>
      <c r="E313" s="40">
        <v>2571</v>
      </c>
    </row>
    <row r="314" spans="1:5" ht="12.75" hidden="1" customHeight="1" x14ac:dyDescent="0.2">
      <c r="A314" s="1">
        <v>231</v>
      </c>
      <c r="B314" s="1" t="s">
        <v>3538</v>
      </c>
      <c r="C314" s="1">
        <v>11</v>
      </c>
      <c r="E314" s="40">
        <v>2572</v>
      </c>
    </row>
    <row r="315" spans="1:5" ht="12.75" hidden="1" customHeight="1" x14ac:dyDescent="0.2">
      <c r="A315" s="1">
        <v>232</v>
      </c>
      <c r="B315" s="1" t="s">
        <v>3539</v>
      </c>
      <c r="C315" s="1">
        <v>3</v>
      </c>
      <c r="E315" s="40">
        <v>2573</v>
      </c>
    </row>
    <row r="316" spans="1:5" ht="12.75" hidden="1" customHeight="1" x14ac:dyDescent="0.2">
      <c r="A316" s="1">
        <v>234</v>
      </c>
      <c r="B316" s="1" t="s">
        <v>3540</v>
      </c>
      <c r="C316" s="1">
        <v>13</v>
      </c>
      <c r="E316" s="40">
        <v>2591</v>
      </c>
    </row>
    <row r="317" spans="1:5" ht="12.75" hidden="1" customHeight="1" x14ac:dyDescent="0.2">
      <c r="A317" s="1">
        <v>235</v>
      </c>
      <c r="B317" s="1" t="s">
        <v>3541</v>
      </c>
      <c r="C317" s="1">
        <v>18</v>
      </c>
      <c r="E317" s="40">
        <v>2592</v>
      </c>
    </row>
    <row r="318" spans="1:5" ht="12.75" hidden="1" customHeight="1" x14ac:dyDescent="0.2">
      <c r="A318" s="1">
        <v>236</v>
      </c>
      <c r="B318" s="1" t="s">
        <v>3542</v>
      </c>
      <c r="C318" s="1">
        <v>2</v>
      </c>
      <c r="E318" s="40">
        <v>2593</v>
      </c>
    </row>
    <row r="319" spans="1:5" ht="12.75" hidden="1" customHeight="1" x14ac:dyDescent="0.2">
      <c r="A319" s="1">
        <v>237</v>
      </c>
      <c r="B319" s="1" t="s">
        <v>3543</v>
      </c>
      <c r="C319" s="1">
        <v>8</v>
      </c>
      <c r="E319" s="40">
        <v>2594</v>
      </c>
    </row>
    <row r="320" spans="1:5" ht="12.75" hidden="1" customHeight="1" x14ac:dyDescent="0.2">
      <c r="A320" s="1">
        <v>239</v>
      </c>
      <c r="B320" s="1" t="s">
        <v>3544</v>
      </c>
      <c r="C320" s="1">
        <v>16</v>
      </c>
      <c r="E320" s="40">
        <v>2599</v>
      </c>
    </row>
    <row r="321" spans="1:5" ht="12.75" hidden="1" customHeight="1" x14ac:dyDescent="0.2">
      <c r="A321" s="1">
        <v>240</v>
      </c>
      <c r="B321" s="1" t="s">
        <v>3545</v>
      </c>
      <c r="C321" s="1">
        <v>9</v>
      </c>
      <c r="E321" s="40">
        <v>2611</v>
      </c>
    </row>
    <row r="322" spans="1:5" ht="12.75" hidden="1" customHeight="1" x14ac:dyDescent="0.2">
      <c r="A322" s="1">
        <v>242</v>
      </c>
      <c r="B322" s="1" t="s">
        <v>3546</v>
      </c>
      <c r="C322" s="1">
        <v>8</v>
      </c>
      <c r="E322" s="40">
        <v>2612</v>
      </c>
    </row>
    <row r="323" spans="1:5" ht="12.75" hidden="1" customHeight="1" x14ac:dyDescent="0.2">
      <c r="A323" s="1">
        <v>243</v>
      </c>
      <c r="B323" s="1" t="s">
        <v>3717</v>
      </c>
      <c r="C323" s="1">
        <v>17</v>
      </c>
      <c r="E323" s="40">
        <v>2620</v>
      </c>
    </row>
    <row r="324" spans="1:5" ht="12.75" hidden="1" customHeight="1" x14ac:dyDescent="0.2">
      <c r="A324" s="1">
        <v>244</v>
      </c>
      <c r="B324" s="1" t="s">
        <v>138</v>
      </c>
      <c r="C324" s="1">
        <v>5</v>
      </c>
      <c r="E324" s="40">
        <v>2630</v>
      </c>
    </row>
    <row r="325" spans="1:5" ht="12.75" hidden="1" customHeight="1" x14ac:dyDescent="0.2">
      <c r="A325" s="1">
        <v>245</v>
      </c>
      <c r="B325" s="1" t="s">
        <v>139</v>
      </c>
      <c r="C325" s="1">
        <v>10</v>
      </c>
      <c r="E325" s="40">
        <v>2640</v>
      </c>
    </row>
    <row r="326" spans="1:5" ht="12.75" hidden="1" customHeight="1" x14ac:dyDescent="0.2">
      <c r="A326" s="1">
        <v>246</v>
      </c>
      <c r="B326" s="1" t="s">
        <v>140</v>
      </c>
      <c r="C326" s="1">
        <v>18</v>
      </c>
      <c r="E326" s="40">
        <v>2651</v>
      </c>
    </row>
    <row r="327" spans="1:5" ht="12.75" hidden="1" customHeight="1" x14ac:dyDescent="0.2">
      <c r="A327" s="1">
        <v>247</v>
      </c>
      <c r="B327" s="1" t="s">
        <v>141</v>
      </c>
      <c r="C327" s="1">
        <v>5</v>
      </c>
      <c r="E327" s="40">
        <v>2652</v>
      </c>
    </row>
    <row r="328" spans="1:5" ht="12.75" hidden="1" customHeight="1" x14ac:dyDescent="0.2">
      <c r="A328" s="1">
        <v>248</v>
      </c>
      <c r="B328" s="1" t="s">
        <v>142</v>
      </c>
      <c r="C328" s="1">
        <v>2</v>
      </c>
      <c r="E328" s="40">
        <v>2660</v>
      </c>
    </row>
    <row r="329" spans="1:5" ht="12.75" hidden="1" customHeight="1" x14ac:dyDescent="0.2">
      <c r="A329" s="1">
        <v>249</v>
      </c>
      <c r="B329" s="1" t="s">
        <v>143</v>
      </c>
      <c r="C329" s="1">
        <v>17</v>
      </c>
      <c r="E329" s="40">
        <v>2670</v>
      </c>
    </row>
    <row r="330" spans="1:5" ht="12.75" hidden="1" customHeight="1" x14ac:dyDescent="0.2">
      <c r="A330" s="1">
        <v>250</v>
      </c>
      <c r="B330" s="1" t="s">
        <v>144</v>
      </c>
      <c r="C330" s="1">
        <v>20</v>
      </c>
      <c r="E330" s="40">
        <v>2680</v>
      </c>
    </row>
    <row r="331" spans="1:5" ht="12.75" hidden="1" customHeight="1" x14ac:dyDescent="0.2">
      <c r="A331" s="1">
        <v>251</v>
      </c>
      <c r="B331" s="1" t="s">
        <v>145</v>
      </c>
      <c r="C331" s="1">
        <v>5</v>
      </c>
      <c r="E331" s="40">
        <v>2711</v>
      </c>
    </row>
    <row r="332" spans="1:5" ht="12.75" hidden="1" customHeight="1" x14ac:dyDescent="0.2">
      <c r="A332" s="1">
        <v>252</v>
      </c>
      <c r="B332" s="1" t="s">
        <v>146</v>
      </c>
      <c r="C332" s="1">
        <v>8</v>
      </c>
      <c r="E332" s="40">
        <v>2712</v>
      </c>
    </row>
    <row r="333" spans="1:5" ht="12.75" hidden="1" customHeight="1" x14ac:dyDescent="0.2">
      <c r="A333" s="1">
        <v>253</v>
      </c>
      <c r="B333" s="1" t="s">
        <v>147</v>
      </c>
      <c r="C333" s="1">
        <v>8</v>
      </c>
      <c r="E333" s="40">
        <v>2720</v>
      </c>
    </row>
    <row r="334" spans="1:5" ht="12.75" hidden="1" customHeight="1" x14ac:dyDescent="0.2">
      <c r="A334" s="1">
        <v>254</v>
      </c>
      <c r="B334" s="1" t="s">
        <v>148</v>
      </c>
      <c r="C334" s="1">
        <v>18</v>
      </c>
      <c r="E334" s="40">
        <v>2731</v>
      </c>
    </row>
    <row r="335" spans="1:5" ht="12.75" hidden="1" customHeight="1" x14ac:dyDescent="0.2">
      <c r="A335" s="1">
        <v>256</v>
      </c>
      <c r="B335" s="1" t="s">
        <v>149</v>
      </c>
      <c r="C335" s="1">
        <v>2</v>
      </c>
      <c r="E335" s="40">
        <v>2732</v>
      </c>
    </row>
    <row r="336" spans="1:5" ht="12.75" hidden="1" customHeight="1" x14ac:dyDescent="0.2">
      <c r="A336" s="1">
        <v>257</v>
      </c>
      <c r="B336" s="1" t="s">
        <v>150</v>
      </c>
      <c r="C336" s="1">
        <v>14</v>
      </c>
      <c r="E336" s="40">
        <v>2733</v>
      </c>
    </row>
    <row r="337" spans="1:5" ht="12.75" hidden="1" customHeight="1" x14ac:dyDescent="0.2">
      <c r="A337" s="1">
        <v>258</v>
      </c>
      <c r="B337" s="1" t="s">
        <v>151</v>
      </c>
      <c r="C337" s="1">
        <v>17</v>
      </c>
      <c r="E337" s="40">
        <v>2740</v>
      </c>
    </row>
    <row r="338" spans="1:5" ht="12.75" hidden="1" customHeight="1" x14ac:dyDescent="0.2">
      <c r="A338" s="1">
        <v>259</v>
      </c>
      <c r="B338" s="1" t="s">
        <v>152</v>
      </c>
      <c r="C338" s="1">
        <v>3</v>
      </c>
      <c r="E338" s="40">
        <v>2751</v>
      </c>
    </row>
    <row r="339" spans="1:5" ht="12.75" hidden="1" customHeight="1" x14ac:dyDescent="0.2">
      <c r="A339" s="1">
        <v>260</v>
      </c>
      <c r="B339" s="1" t="s">
        <v>153</v>
      </c>
      <c r="C339" s="1">
        <v>5</v>
      </c>
      <c r="E339" s="40">
        <v>2752</v>
      </c>
    </row>
    <row r="340" spans="1:5" ht="12.75" hidden="1" customHeight="1" x14ac:dyDescent="0.2">
      <c r="A340" s="1">
        <v>261</v>
      </c>
      <c r="B340" s="1" t="s">
        <v>154</v>
      </c>
      <c r="C340" s="1">
        <v>8</v>
      </c>
      <c r="E340" s="40">
        <v>2790</v>
      </c>
    </row>
    <row r="341" spans="1:5" ht="12.75" hidden="1" customHeight="1" x14ac:dyDescent="0.2">
      <c r="A341" s="1">
        <v>263</v>
      </c>
      <c r="B341" s="1" t="s">
        <v>155</v>
      </c>
      <c r="C341" s="1">
        <v>18</v>
      </c>
      <c r="E341" s="40">
        <v>2811</v>
      </c>
    </row>
    <row r="342" spans="1:5" ht="12.75" hidden="1" customHeight="1" x14ac:dyDescent="0.2">
      <c r="A342" s="1">
        <v>264</v>
      </c>
      <c r="B342" s="1" t="s">
        <v>156</v>
      </c>
      <c r="C342" s="1">
        <v>19</v>
      </c>
      <c r="E342" s="40">
        <v>2812</v>
      </c>
    </row>
    <row r="343" spans="1:5" ht="12.75" hidden="1" customHeight="1" x14ac:dyDescent="0.2">
      <c r="A343" s="1">
        <v>265</v>
      </c>
      <c r="B343" s="1" t="s">
        <v>157</v>
      </c>
      <c r="C343" s="1">
        <v>2</v>
      </c>
      <c r="E343" s="40">
        <v>2813</v>
      </c>
    </row>
    <row r="344" spans="1:5" ht="12.75" hidden="1" customHeight="1" x14ac:dyDescent="0.2">
      <c r="A344" s="1">
        <v>266</v>
      </c>
      <c r="B344" s="1" t="s">
        <v>158</v>
      </c>
      <c r="C344" s="1">
        <v>10</v>
      </c>
      <c r="E344" s="40">
        <v>2814</v>
      </c>
    </row>
    <row r="345" spans="1:5" ht="12.75" hidden="1" customHeight="1" x14ac:dyDescent="0.2">
      <c r="A345" s="1">
        <v>267</v>
      </c>
      <c r="B345" s="1" t="s">
        <v>159</v>
      </c>
      <c r="C345" s="1">
        <v>17</v>
      </c>
      <c r="E345" s="40">
        <v>2815</v>
      </c>
    </row>
    <row r="346" spans="1:5" ht="12.75" hidden="1" customHeight="1" x14ac:dyDescent="0.2">
      <c r="A346" s="1">
        <v>268</v>
      </c>
      <c r="B346" s="1" t="s">
        <v>160</v>
      </c>
      <c r="C346" s="1">
        <v>19</v>
      </c>
      <c r="E346" s="40">
        <v>2821</v>
      </c>
    </row>
    <row r="347" spans="1:5" ht="12.75" hidden="1" customHeight="1" x14ac:dyDescent="0.2">
      <c r="A347" s="1">
        <v>270</v>
      </c>
      <c r="B347" s="1" t="s">
        <v>161</v>
      </c>
      <c r="C347" s="1">
        <v>6</v>
      </c>
      <c r="E347" s="40">
        <v>2822</v>
      </c>
    </row>
    <row r="348" spans="1:5" ht="12.75" hidden="1" customHeight="1" x14ac:dyDescent="0.2">
      <c r="A348" s="1">
        <v>271</v>
      </c>
      <c r="B348" s="1" t="s">
        <v>845</v>
      </c>
      <c r="C348" s="1">
        <v>14</v>
      </c>
      <c r="E348" s="40">
        <v>2823</v>
      </c>
    </row>
    <row r="349" spans="1:5" ht="12.75" hidden="1" customHeight="1" x14ac:dyDescent="0.2">
      <c r="A349" s="1">
        <v>273</v>
      </c>
      <c r="B349" s="1" t="s">
        <v>846</v>
      </c>
      <c r="C349" s="1">
        <v>8</v>
      </c>
      <c r="E349" s="40">
        <v>2824</v>
      </c>
    </row>
    <row r="350" spans="1:5" ht="12.75" hidden="1" customHeight="1" x14ac:dyDescent="0.2">
      <c r="A350" s="1">
        <v>274</v>
      </c>
      <c r="B350" s="1" t="s">
        <v>2881</v>
      </c>
      <c r="C350" s="1">
        <v>18</v>
      </c>
      <c r="E350" s="40">
        <v>2825</v>
      </c>
    </row>
    <row r="351" spans="1:5" ht="12.75" hidden="1" customHeight="1" x14ac:dyDescent="0.2">
      <c r="A351" s="1">
        <v>275</v>
      </c>
      <c r="B351" s="1" t="s">
        <v>4073</v>
      </c>
      <c r="C351" s="1">
        <v>8</v>
      </c>
      <c r="E351" s="40">
        <v>2829</v>
      </c>
    </row>
    <row r="352" spans="1:5" ht="12.75" hidden="1" customHeight="1" x14ac:dyDescent="0.2">
      <c r="A352" s="1">
        <v>276</v>
      </c>
      <c r="B352" s="1" t="s">
        <v>4074</v>
      </c>
      <c r="C352" s="1">
        <v>20</v>
      </c>
      <c r="E352" s="40">
        <v>2830</v>
      </c>
    </row>
    <row r="353" spans="1:5" ht="12.75" hidden="1" customHeight="1" x14ac:dyDescent="0.2">
      <c r="A353" s="1">
        <v>278</v>
      </c>
      <c r="B353" s="1" t="s">
        <v>4075</v>
      </c>
      <c r="C353" s="1">
        <v>14</v>
      </c>
      <c r="E353" s="40">
        <v>2841</v>
      </c>
    </row>
    <row r="354" spans="1:5" ht="12.75" hidden="1" customHeight="1" x14ac:dyDescent="0.2">
      <c r="A354" s="1">
        <v>279</v>
      </c>
      <c r="B354" s="1" t="s">
        <v>4076</v>
      </c>
      <c r="C354" s="1">
        <v>20</v>
      </c>
      <c r="E354" s="40">
        <v>2849</v>
      </c>
    </row>
    <row r="355" spans="1:5" ht="12.75" hidden="1" customHeight="1" x14ac:dyDescent="0.2">
      <c r="A355" s="1">
        <v>280</v>
      </c>
      <c r="B355" s="1" t="s">
        <v>4077</v>
      </c>
      <c r="C355" s="1">
        <v>17</v>
      </c>
      <c r="E355" s="40">
        <v>2891</v>
      </c>
    </row>
    <row r="356" spans="1:5" ht="12.75" hidden="1" customHeight="1" x14ac:dyDescent="0.2">
      <c r="A356" s="1">
        <v>281</v>
      </c>
      <c r="B356" s="1" t="s">
        <v>4078</v>
      </c>
      <c r="C356" s="1">
        <v>4</v>
      </c>
      <c r="E356" s="40">
        <v>2892</v>
      </c>
    </row>
    <row r="357" spans="1:5" ht="12.75" hidden="1" customHeight="1" x14ac:dyDescent="0.2">
      <c r="A357" s="1">
        <v>282</v>
      </c>
      <c r="B357" s="1" t="s">
        <v>4079</v>
      </c>
      <c r="C357" s="1">
        <v>13</v>
      </c>
      <c r="E357" s="40">
        <v>2893</v>
      </c>
    </row>
    <row r="358" spans="1:5" ht="12.75" hidden="1" customHeight="1" x14ac:dyDescent="0.2">
      <c r="A358" s="1">
        <v>283</v>
      </c>
      <c r="B358" s="1" t="s">
        <v>2298</v>
      </c>
      <c r="C358" s="1">
        <v>10</v>
      </c>
      <c r="E358" s="40">
        <v>2894</v>
      </c>
    </row>
    <row r="359" spans="1:5" ht="12.75" hidden="1" customHeight="1" x14ac:dyDescent="0.2">
      <c r="A359" s="1">
        <v>284</v>
      </c>
      <c r="B359" s="1" t="s">
        <v>2299</v>
      </c>
      <c r="C359" s="1">
        <v>12</v>
      </c>
      <c r="E359" s="40">
        <v>2895</v>
      </c>
    </row>
    <row r="360" spans="1:5" ht="12.75" hidden="1" customHeight="1" x14ac:dyDescent="0.2">
      <c r="A360" s="1">
        <v>285</v>
      </c>
      <c r="B360" s="1" t="s">
        <v>2300</v>
      </c>
      <c r="C360" s="1">
        <v>12</v>
      </c>
      <c r="E360" s="40">
        <v>2896</v>
      </c>
    </row>
    <row r="361" spans="1:5" ht="12.75" hidden="1" customHeight="1" x14ac:dyDescent="0.2">
      <c r="A361" s="1">
        <v>287</v>
      </c>
      <c r="B361" s="1" t="s">
        <v>3453</v>
      </c>
      <c r="C361" s="1">
        <v>7</v>
      </c>
      <c r="E361" s="40">
        <v>2899</v>
      </c>
    </row>
    <row r="362" spans="1:5" ht="12.75" hidden="1" customHeight="1" x14ac:dyDescent="0.2">
      <c r="A362" s="1">
        <v>288</v>
      </c>
      <c r="B362" s="1" t="s">
        <v>3454</v>
      </c>
      <c r="C362" s="1">
        <v>9</v>
      </c>
      <c r="E362" s="40">
        <v>2910</v>
      </c>
    </row>
    <row r="363" spans="1:5" ht="12.75" hidden="1" customHeight="1" x14ac:dyDescent="0.2">
      <c r="A363" s="1">
        <v>289</v>
      </c>
      <c r="B363" s="1" t="s">
        <v>3455</v>
      </c>
      <c r="C363" s="1">
        <v>5</v>
      </c>
      <c r="E363" s="40">
        <v>2920</v>
      </c>
    </row>
    <row r="364" spans="1:5" ht="12.75" hidden="1" customHeight="1" x14ac:dyDescent="0.2">
      <c r="A364" s="1">
        <v>290</v>
      </c>
      <c r="B364" s="1" t="s">
        <v>2697</v>
      </c>
      <c r="C364" s="1">
        <v>8</v>
      </c>
      <c r="E364" s="40">
        <v>2931</v>
      </c>
    </row>
    <row r="365" spans="1:5" ht="12.75" hidden="1" customHeight="1" x14ac:dyDescent="0.2">
      <c r="A365" s="1">
        <v>291</v>
      </c>
      <c r="B365" s="1" t="s">
        <v>2698</v>
      </c>
      <c r="C365" s="1">
        <v>18</v>
      </c>
      <c r="E365" s="40">
        <v>2932</v>
      </c>
    </row>
    <row r="366" spans="1:5" ht="12.75" hidden="1" customHeight="1" x14ac:dyDescent="0.2">
      <c r="A366" s="1">
        <v>292</v>
      </c>
      <c r="B366" s="1" t="s">
        <v>2699</v>
      </c>
      <c r="C366" s="1">
        <v>6</v>
      </c>
      <c r="E366" s="40">
        <v>3011</v>
      </c>
    </row>
    <row r="367" spans="1:5" ht="12.75" hidden="1" customHeight="1" x14ac:dyDescent="0.2">
      <c r="A367" s="1">
        <v>293</v>
      </c>
      <c r="B367" s="1" t="s">
        <v>1942</v>
      </c>
      <c r="C367" s="1">
        <v>3</v>
      </c>
      <c r="E367" s="40">
        <v>3012</v>
      </c>
    </row>
    <row r="368" spans="1:5" ht="12.75" hidden="1" customHeight="1" x14ac:dyDescent="0.2">
      <c r="A368" s="1">
        <v>294</v>
      </c>
      <c r="B368" s="1" t="s">
        <v>1943</v>
      </c>
      <c r="C368" s="1">
        <v>16</v>
      </c>
      <c r="E368" s="40">
        <v>3020</v>
      </c>
    </row>
    <row r="369" spans="1:5" ht="12.75" hidden="1" customHeight="1" x14ac:dyDescent="0.2">
      <c r="A369" s="1">
        <v>295</v>
      </c>
      <c r="B369" s="1" t="s">
        <v>1944</v>
      </c>
      <c r="C369" s="1">
        <v>16</v>
      </c>
      <c r="E369" s="40">
        <v>3030</v>
      </c>
    </row>
    <row r="370" spans="1:5" ht="12.75" hidden="1" customHeight="1" x14ac:dyDescent="0.2">
      <c r="A370" s="1">
        <v>296</v>
      </c>
      <c r="B370" s="1" t="s">
        <v>1945</v>
      </c>
      <c r="C370" s="1">
        <v>13</v>
      </c>
      <c r="E370" s="40">
        <v>3040</v>
      </c>
    </row>
    <row r="371" spans="1:5" ht="12.75" hidden="1" customHeight="1" x14ac:dyDescent="0.2">
      <c r="A371" s="1">
        <v>297</v>
      </c>
      <c r="B371" s="1" t="s">
        <v>1946</v>
      </c>
      <c r="C371" s="1">
        <v>4</v>
      </c>
      <c r="E371" s="40">
        <v>3091</v>
      </c>
    </row>
    <row r="372" spans="1:5" ht="12.75" hidden="1" customHeight="1" x14ac:dyDescent="0.2">
      <c r="A372" s="1">
        <v>298</v>
      </c>
      <c r="B372" s="1" t="s">
        <v>3264</v>
      </c>
      <c r="C372" s="1">
        <v>15</v>
      </c>
      <c r="E372" s="40">
        <v>3092</v>
      </c>
    </row>
    <row r="373" spans="1:5" ht="12.75" hidden="1" customHeight="1" x14ac:dyDescent="0.2">
      <c r="A373" s="1">
        <v>299</v>
      </c>
      <c r="B373" s="1" t="s">
        <v>3265</v>
      </c>
      <c r="C373" s="1">
        <v>12</v>
      </c>
      <c r="E373" s="40">
        <v>3099</v>
      </c>
    </row>
    <row r="374" spans="1:5" ht="12.75" hidden="1" customHeight="1" x14ac:dyDescent="0.2">
      <c r="A374" s="1">
        <v>300</v>
      </c>
      <c r="B374" s="1" t="s">
        <v>3266</v>
      </c>
      <c r="C374" s="1">
        <v>17</v>
      </c>
      <c r="E374" s="40">
        <v>3101</v>
      </c>
    </row>
    <row r="375" spans="1:5" ht="12.75" hidden="1" customHeight="1" x14ac:dyDescent="0.2">
      <c r="A375" s="1">
        <v>301</v>
      </c>
      <c r="B375" s="1" t="s">
        <v>3267</v>
      </c>
      <c r="C375" s="1">
        <v>8</v>
      </c>
      <c r="E375" s="40">
        <v>3102</v>
      </c>
    </row>
    <row r="376" spans="1:5" ht="12.75" hidden="1" customHeight="1" x14ac:dyDescent="0.2">
      <c r="A376" s="1">
        <v>302</v>
      </c>
      <c r="B376" s="1" t="s">
        <v>3268</v>
      </c>
      <c r="C376" s="1">
        <v>8</v>
      </c>
      <c r="E376" s="40">
        <v>3103</v>
      </c>
    </row>
    <row r="377" spans="1:5" ht="12.75" hidden="1" customHeight="1" x14ac:dyDescent="0.2">
      <c r="A377" s="1">
        <v>303</v>
      </c>
      <c r="B377" s="1" t="s">
        <v>876</v>
      </c>
      <c r="C377" s="1">
        <v>12</v>
      </c>
      <c r="E377" s="40">
        <v>3109</v>
      </c>
    </row>
    <row r="378" spans="1:5" ht="12.75" hidden="1" customHeight="1" x14ac:dyDescent="0.2">
      <c r="A378" s="1">
        <v>304</v>
      </c>
      <c r="B378" s="1" t="s">
        <v>877</v>
      </c>
      <c r="C378" s="1">
        <v>18</v>
      </c>
      <c r="E378" s="40">
        <v>3211</v>
      </c>
    </row>
    <row r="379" spans="1:5" ht="12.75" hidden="1" customHeight="1" x14ac:dyDescent="0.2">
      <c r="A379" s="1">
        <v>306</v>
      </c>
      <c r="B379" s="1" t="s">
        <v>878</v>
      </c>
      <c r="C379" s="1">
        <v>19</v>
      </c>
      <c r="E379" s="40">
        <v>3212</v>
      </c>
    </row>
    <row r="380" spans="1:5" ht="12.75" hidden="1" customHeight="1" x14ac:dyDescent="0.2">
      <c r="A380" s="1">
        <v>307</v>
      </c>
      <c r="B380" s="1" t="s">
        <v>879</v>
      </c>
      <c r="C380" s="1">
        <v>10</v>
      </c>
      <c r="E380" s="40">
        <v>3213</v>
      </c>
    </row>
    <row r="381" spans="1:5" ht="12.75" hidden="1" customHeight="1" x14ac:dyDescent="0.2">
      <c r="A381" s="1">
        <v>308</v>
      </c>
      <c r="B381" s="1" t="s">
        <v>880</v>
      </c>
      <c r="C381" s="1">
        <v>19</v>
      </c>
      <c r="E381" s="40">
        <v>3220</v>
      </c>
    </row>
    <row r="382" spans="1:5" ht="12.75" hidden="1" customHeight="1" x14ac:dyDescent="0.2">
      <c r="A382" s="1">
        <v>309</v>
      </c>
      <c r="B382" s="1" t="s">
        <v>881</v>
      </c>
      <c r="C382" s="1">
        <v>12</v>
      </c>
      <c r="E382" s="40">
        <v>3230</v>
      </c>
    </row>
    <row r="383" spans="1:5" ht="12.75" hidden="1" customHeight="1" x14ac:dyDescent="0.2">
      <c r="A383" s="1">
        <v>310</v>
      </c>
      <c r="B383" s="1" t="s">
        <v>882</v>
      </c>
      <c r="C383" s="1">
        <v>15</v>
      </c>
      <c r="E383" s="40">
        <v>3240</v>
      </c>
    </row>
    <row r="384" spans="1:5" ht="12.75" hidden="1" customHeight="1" x14ac:dyDescent="0.2">
      <c r="A384" s="1">
        <v>311</v>
      </c>
      <c r="B384" s="1" t="s">
        <v>883</v>
      </c>
      <c r="C384" s="1">
        <v>2</v>
      </c>
      <c r="E384" s="40">
        <v>3250</v>
      </c>
    </row>
    <row r="385" spans="1:5" ht="12.75" hidden="1" customHeight="1" x14ac:dyDescent="0.2">
      <c r="A385" s="1">
        <v>312</v>
      </c>
      <c r="B385" s="1" t="s">
        <v>884</v>
      </c>
      <c r="C385" s="1">
        <v>14</v>
      </c>
      <c r="E385" s="40">
        <v>3291</v>
      </c>
    </row>
    <row r="386" spans="1:5" ht="12.75" hidden="1" customHeight="1" x14ac:dyDescent="0.2">
      <c r="A386" s="1">
        <v>313</v>
      </c>
      <c r="B386" s="1" t="s">
        <v>885</v>
      </c>
      <c r="C386" s="1">
        <v>9</v>
      </c>
      <c r="E386" s="40">
        <v>3299</v>
      </c>
    </row>
    <row r="387" spans="1:5" ht="12.75" hidden="1" customHeight="1" x14ac:dyDescent="0.2">
      <c r="A387" s="1">
        <v>314</v>
      </c>
      <c r="B387" s="1" t="s">
        <v>886</v>
      </c>
      <c r="C387" s="1">
        <v>17</v>
      </c>
      <c r="E387" s="40">
        <v>3311</v>
      </c>
    </row>
    <row r="388" spans="1:5" ht="12.75" hidden="1" customHeight="1" x14ac:dyDescent="0.2">
      <c r="A388" s="1">
        <v>315</v>
      </c>
      <c r="B388" s="1" t="s">
        <v>887</v>
      </c>
      <c r="C388" s="1">
        <v>4</v>
      </c>
      <c r="E388" s="40">
        <v>3312</v>
      </c>
    </row>
    <row r="389" spans="1:5" ht="12.75" hidden="1" customHeight="1" x14ac:dyDescent="0.2">
      <c r="A389" s="1">
        <v>316</v>
      </c>
      <c r="B389" s="1" t="s">
        <v>888</v>
      </c>
      <c r="C389" s="1">
        <v>13</v>
      </c>
      <c r="E389" s="40">
        <v>3313</v>
      </c>
    </row>
    <row r="390" spans="1:5" ht="12.75" hidden="1" customHeight="1" x14ac:dyDescent="0.2">
      <c r="A390" s="1">
        <v>317</v>
      </c>
      <c r="B390" s="1" t="s">
        <v>889</v>
      </c>
      <c r="C390" s="1">
        <v>13</v>
      </c>
      <c r="E390" s="40">
        <v>3314</v>
      </c>
    </row>
    <row r="391" spans="1:5" ht="12.75" hidden="1" customHeight="1" x14ac:dyDescent="0.2">
      <c r="A391" s="1">
        <v>318</v>
      </c>
      <c r="B391" s="1" t="s">
        <v>890</v>
      </c>
      <c r="C391" s="1">
        <v>11</v>
      </c>
      <c r="E391" s="40">
        <v>3315</v>
      </c>
    </row>
    <row r="392" spans="1:5" ht="12.75" hidden="1" customHeight="1" x14ac:dyDescent="0.2">
      <c r="A392" s="1">
        <v>320</v>
      </c>
      <c r="B392" s="1" t="s">
        <v>891</v>
      </c>
      <c r="C392" s="1">
        <v>13</v>
      </c>
      <c r="E392" s="40">
        <v>3316</v>
      </c>
    </row>
    <row r="393" spans="1:5" ht="12.75" hidden="1" customHeight="1" x14ac:dyDescent="0.2">
      <c r="A393" s="1">
        <v>321</v>
      </c>
      <c r="B393" s="1" t="s">
        <v>892</v>
      </c>
      <c r="C393" s="1">
        <v>18</v>
      </c>
      <c r="E393" s="40">
        <v>3317</v>
      </c>
    </row>
    <row r="394" spans="1:5" ht="12.75" hidden="1" customHeight="1" x14ac:dyDescent="0.2">
      <c r="A394" s="1">
        <v>323</v>
      </c>
      <c r="B394" s="1" t="s">
        <v>793</v>
      </c>
      <c r="C394" s="1">
        <v>9</v>
      </c>
      <c r="E394" s="40">
        <v>3319</v>
      </c>
    </row>
    <row r="395" spans="1:5" ht="12.75" hidden="1" customHeight="1" x14ac:dyDescent="0.2">
      <c r="A395" s="1">
        <v>324</v>
      </c>
      <c r="B395" s="1" t="s">
        <v>794</v>
      </c>
      <c r="C395" s="1">
        <v>6</v>
      </c>
      <c r="E395" s="40">
        <v>3320</v>
      </c>
    </row>
    <row r="396" spans="1:5" ht="12.75" hidden="1" customHeight="1" x14ac:dyDescent="0.2">
      <c r="A396" s="1">
        <v>325</v>
      </c>
      <c r="B396" s="1" t="s">
        <v>795</v>
      </c>
      <c r="C396" s="1">
        <v>14</v>
      </c>
      <c r="E396" s="40">
        <v>3511</v>
      </c>
    </row>
    <row r="397" spans="1:5" ht="12.75" hidden="1" customHeight="1" x14ac:dyDescent="0.2">
      <c r="A397" s="1">
        <v>326</v>
      </c>
      <c r="B397" s="1" t="s">
        <v>796</v>
      </c>
      <c r="C397" s="1">
        <v>5</v>
      </c>
      <c r="E397" s="40">
        <v>3512</v>
      </c>
    </row>
    <row r="398" spans="1:5" ht="12.75" hidden="1" customHeight="1" x14ac:dyDescent="0.2">
      <c r="A398" s="1">
        <v>327</v>
      </c>
      <c r="B398" s="1" t="s">
        <v>797</v>
      </c>
      <c r="C398" s="1">
        <v>14</v>
      </c>
      <c r="E398" s="40">
        <v>3513</v>
      </c>
    </row>
    <row r="399" spans="1:5" ht="12.75" hidden="1" customHeight="1" x14ac:dyDescent="0.2">
      <c r="A399" s="1">
        <v>328</v>
      </c>
      <c r="B399" s="1" t="s">
        <v>798</v>
      </c>
      <c r="C399" s="1">
        <v>3</v>
      </c>
      <c r="E399" s="40">
        <v>3514</v>
      </c>
    </row>
    <row r="400" spans="1:5" ht="12.75" hidden="1" customHeight="1" x14ac:dyDescent="0.2">
      <c r="A400" s="1">
        <v>329</v>
      </c>
      <c r="B400" s="1" t="s">
        <v>2421</v>
      </c>
      <c r="C400" s="1">
        <v>2</v>
      </c>
      <c r="E400" s="40">
        <v>3521</v>
      </c>
    </row>
    <row r="401" spans="1:5" ht="12.75" hidden="1" customHeight="1" x14ac:dyDescent="0.2">
      <c r="A401" s="1">
        <v>330</v>
      </c>
      <c r="B401" s="1" t="s">
        <v>2422</v>
      </c>
      <c r="C401" s="1">
        <v>18</v>
      </c>
      <c r="E401" s="40">
        <v>3522</v>
      </c>
    </row>
    <row r="402" spans="1:5" ht="12.75" hidden="1" customHeight="1" x14ac:dyDescent="0.2">
      <c r="A402" s="1">
        <v>331</v>
      </c>
      <c r="B402" s="1" t="s">
        <v>2423</v>
      </c>
      <c r="C402" s="1">
        <v>1</v>
      </c>
      <c r="E402" s="40">
        <v>3523</v>
      </c>
    </row>
    <row r="403" spans="1:5" ht="12.75" hidden="1" customHeight="1" x14ac:dyDescent="0.2">
      <c r="A403" s="1">
        <v>332</v>
      </c>
      <c r="B403" s="1" t="s">
        <v>2424</v>
      </c>
      <c r="C403" s="1">
        <v>10</v>
      </c>
      <c r="E403" s="40">
        <v>3530</v>
      </c>
    </row>
    <row r="404" spans="1:5" ht="12.75" hidden="1" customHeight="1" x14ac:dyDescent="0.2">
      <c r="A404" s="1">
        <v>333</v>
      </c>
      <c r="B404" s="1" t="s">
        <v>2447</v>
      </c>
      <c r="C404" s="1">
        <v>4</v>
      </c>
      <c r="E404" s="40">
        <v>3600</v>
      </c>
    </row>
    <row r="405" spans="1:5" ht="12.75" hidden="1" customHeight="1" x14ac:dyDescent="0.2">
      <c r="A405" s="1">
        <v>334</v>
      </c>
      <c r="B405" s="1" t="s">
        <v>2448</v>
      </c>
      <c r="C405" s="1">
        <v>11</v>
      </c>
      <c r="E405" s="40">
        <v>3700</v>
      </c>
    </row>
    <row r="406" spans="1:5" ht="12.75" hidden="1" customHeight="1" x14ac:dyDescent="0.2">
      <c r="A406" s="1">
        <v>335</v>
      </c>
      <c r="B406" s="1" t="s">
        <v>2449</v>
      </c>
      <c r="C406" s="1">
        <v>19</v>
      </c>
      <c r="E406" s="40">
        <v>3811</v>
      </c>
    </row>
    <row r="407" spans="1:5" ht="12.75" hidden="1" customHeight="1" x14ac:dyDescent="0.2">
      <c r="A407" s="1">
        <v>337</v>
      </c>
      <c r="B407" s="1" t="s">
        <v>2450</v>
      </c>
      <c r="C407" s="1">
        <v>17</v>
      </c>
      <c r="E407" s="40">
        <v>3812</v>
      </c>
    </row>
    <row r="408" spans="1:5" ht="12.75" hidden="1" customHeight="1" x14ac:dyDescent="0.2">
      <c r="A408" s="1">
        <v>338</v>
      </c>
      <c r="B408" s="1" t="s">
        <v>2509</v>
      </c>
      <c r="C408" s="1">
        <v>12</v>
      </c>
      <c r="E408" s="40">
        <v>3821</v>
      </c>
    </row>
    <row r="409" spans="1:5" ht="12.75" hidden="1" customHeight="1" x14ac:dyDescent="0.2">
      <c r="A409" s="1">
        <v>339</v>
      </c>
      <c r="B409" s="1" t="s">
        <v>2510</v>
      </c>
      <c r="C409" s="1">
        <v>17</v>
      </c>
      <c r="E409" s="40">
        <v>3822</v>
      </c>
    </row>
    <row r="410" spans="1:5" ht="12.75" hidden="1" customHeight="1" x14ac:dyDescent="0.2">
      <c r="A410" s="1">
        <v>340</v>
      </c>
      <c r="B410" s="1" t="s">
        <v>2511</v>
      </c>
      <c r="C410" s="1">
        <v>14</v>
      </c>
      <c r="E410" s="40">
        <v>3831</v>
      </c>
    </row>
    <row r="411" spans="1:5" ht="12.75" hidden="1" customHeight="1" x14ac:dyDescent="0.2">
      <c r="A411" s="1">
        <v>341</v>
      </c>
      <c r="B411" s="1" t="s">
        <v>2512</v>
      </c>
      <c r="C411" s="1">
        <v>17</v>
      </c>
      <c r="E411" s="40">
        <v>3832</v>
      </c>
    </row>
    <row r="412" spans="1:5" ht="12.75" hidden="1" customHeight="1" x14ac:dyDescent="0.2">
      <c r="A412" s="1">
        <v>342</v>
      </c>
      <c r="B412" s="1" t="s">
        <v>2513</v>
      </c>
      <c r="C412" s="1">
        <v>20</v>
      </c>
      <c r="E412" s="40">
        <v>3900</v>
      </c>
    </row>
    <row r="413" spans="1:5" ht="12.75" hidden="1" customHeight="1" x14ac:dyDescent="0.2">
      <c r="A413" s="1">
        <v>343</v>
      </c>
      <c r="B413" s="1" t="s">
        <v>2514</v>
      </c>
      <c r="C413" s="1">
        <v>19</v>
      </c>
      <c r="E413" s="40">
        <v>4110</v>
      </c>
    </row>
    <row r="414" spans="1:5" ht="12.75" hidden="1" customHeight="1" x14ac:dyDescent="0.2">
      <c r="A414" s="1">
        <v>344</v>
      </c>
      <c r="B414" s="1" t="s">
        <v>2515</v>
      </c>
      <c r="C414" s="1">
        <v>13</v>
      </c>
      <c r="E414" s="40">
        <v>4120</v>
      </c>
    </row>
    <row r="415" spans="1:5" ht="12.75" hidden="1" customHeight="1" x14ac:dyDescent="0.2">
      <c r="A415" s="1">
        <v>345</v>
      </c>
      <c r="B415" s="1" t="s">
        <v>2516</v>
      </c>
      <c r="C415" s="1">
        <v>13</v>
      </c>
      <c r="E415" s="40">
        <v>4211</v>
      </c>
    </row>
    <row r="416" spans="1:5" ht="12.75" hidden="1" customHeight="1" x14ac:dyDescent="0.2">
      <c r="A416" s="1">
        <v>346</v>
      </c>
      <c r="B416" s="1" t="s">
        <v>2517</v>
      </c>
      <c r="C416" s="1">
        <v>14</v>
      </c>
      <c r="E416" s="40">
        <v>4212</v>
      </c>
    </row>
    <row r="417" spans="1:5" ht="12.75" hidden="1" customHeight="1" x14ac:dyDescent="0.2">
      <c r="A417" s="1">
        <v>347</v>
      </c>
      <c r="B417" s="1" t="s">
        <v>2518</v>
      </c>
      <c r="C417" s="1">
        <v>3</v>
      </c>
      <c r="E417" s="40">
        <v>4213</v>
      </c>
    </row>
    <row r="418" spans="1:5" ht="12.75" hidden="1" customHeight="1" x14ac:dyDescent="0.2">
      <c r="A418" s="1">
        <v>348</v>
      </c>
      <c r="B418" s="1" t="s">
        <v>2519</v>
      </c>
      <c r="C418" s="1">
        <v>18</v>
      </c>
      <c r="E418" s="40">
        <v>4221</v>
      </c>
    </row>
    <row r="419" spans="1:5" ht="12.75" hidden="1" customHeight="1" x14ac:dyDescent="0.2">
      <c r="A419" s="1">
        <v>349</v>
      </c>
      <c r="B419" s="1" t="s">
        <v>2520</v>
      </c>
      <c r="C419" s="1">
        <v>13</v>
      </c>
      <c r="E419" s="40">
        <v>4222</v>
      </c>
    </row>
    <row r="420" spans="1:5" ht="12.75" hidden="1" customHeight="1" x14ac:dyDescent="0.2">
      <c r="A420" s="1">
        <v>350</v>
      </c>
      <c r="B420" s="1" t="s">
        <v>2521</v>
      </c>
      <c r="C420" s="1">
        <v>17</v>
      </c>
      <c r="E420" s="40">
        <v>4291</v>
      </c>
    </row>
    <row r="421" spans="1:5" ht="12.75" hidden="1" customHeight="1" x14ac:dyDescent="0.2">
      <c r="A421" s="1">
        <v>351</v>
      </c>
      <c r="B421" s="1" t="s">
        <v>2522</v>
      </c>
      <c r="C421" s="1">
        <v>11</v>
      </c>
      <c r="E421" s="40">
        <v>4299</v>
      </c>
    </row>
    <row r="422" spans="1:5" ht="12.75" hidden="1" customHeight="1" x14ac:dyDescent="0.2">
      <c r="A422" s="1">
        <v>352</v>
      </c>
      <c r="B422" s="1" t="s">
        <v>2523</v>
      </c>
      <c r="C422" s="1">
        <v>2</v>
      </c>
      <c r="E422" s="40">
        <v>4311</v>
      </c>
    </row>
    <row r="423" spans="1:5" ht="12.75" hidden="1" customHeight="1" x14ac:dyDescent="0.2">
      <c r="A423" s="1">
        <v>354</v>
      </c>
      <c r="B423" s="1" t="s">
        <v>2524</v>
      </c>
      <c r="C423" s="1">
        <v>13</v>
      </c>
      <c r="E423" s="40">
        <v>4312</v>
      </c>
    </row>
    <row r="424" spans="1:5" ht="12.75" hidden="1" customHeight="1" x14ac:dyDescent="0.2">
      <c r="A424" s="1">
        <v>355</v>
      </c>
      <c r="B424" s="1" t="s">
        <v>3989</v>
      </c>
      <c r="C424" s="1">
        <v>20</v>
      </c>
      <c r="E424" s="40">
        <v>4313</v>
      </c>
    </row>
    <row r="425" spans="1:5" ht="12.75" hidden="1" customHeight="1" x14ac:dyDescent="0.2">
      <c r="A425" s="1">
        <v>356</v>
      </c>
      <c r="B425" s="1" t="s">
        <v>3990</v>
      </c>
      <c r="C425" s="1">
        <v>1</v>
      </c>
      <c r="E425" s="40">
        <v>4321</v>
      </c>
    </row>
    <row r="426" spans="1:5" ht="12.75" hidden="1" customHeight="1" x14ac:dyDescent="0.2">
      <c r="A426" s="1">
        <v>357</v>
      </c>
      <c r="B426" s="1" t="s">
        <v>3991</v>
      </c>
      <c r="C426" s="1">
        <v>15</v>
      </c>
      <c r="E426" s="40">
        <v>4322</v>
      </c>
    </row>
    <row r="427" spans="1:5" ht="12.75" hidden="1" customHeight="1" x14ac:dyDescent="0.2">
      <c r="A427" s="1">
        <v>358</v>
      </c>
      <c r="B427" s="1" t="s">
        <v>3992</v>
      </c>
      <c r="C427" s="1">
        <v>17</v>
      </c>
      <c r="E427" s="40">
        <v>4329</v>
      </c>
    </row>
    <row r="428" spans="1:5" ht="12.75" hidden="1" customHeight="1" x14ac:dyDescent="0.2">
      <c r="A428" s="1">
        <v>359</v>
      </c>
      <c r="B428" s="1" t="s">
        <v>3993</v>
      </c>
      <c r="C428" s="1">
        <v>18</v>
      </c>
      <c r="E428" s="40">
        <v>4331</v>
      </c>
    </row>
    <row r="429" spans="1:5" ht="12.75" hidden="1" customHeight="1" x14ac:dyDescent="0.2">
      <c r="A429" s="1">
        <v>360</v>
      </c>
      <c r="B429" s="1" t="s">
        <v>3994</v>
      </c>
      <c r="C429" s="1">
        <v>8</v>
      </c>
      <c r="E429" s="40">
        <v>4332</v>
      </c>
    </row>
    <row r="430" spans="1:5" ht="12.75" hidden="1" customHeight="1" x14ac:dyDescent="0.2">
      <c r="A430" s="1">
        <v>361</v>
      </c>
      <c r="B430" s="1" t="s">
        <v>3995</v>
      </c>
      <c r="C430" s="1">
        <v>14</v>
      </c>
      <c r="E430" s="40">
        <v>4333</v>
      </c>
    </row>
    <row r="431" spans="1:5" ht="12.75" hidden="1" customHeight="1" x14ac:dyDescent="0.2">
      <c r="A431" s="1">
        <v>362</v>
      </c>
      <c r="B431" s="1" t="s">
        <v>3996</v>
      </c>
      <c r="C431" s="1">
        <v>1</v>
      </c>
      <c r="E431" s="40">
        <v>4334</v>
      </c>
    </row>
    <row r="432" spans="1:5" ht="12.75" hidden="1" customHeight="1" x14ac:dyDescent="0.2">
      <c r="A432" s="1">
        <v>363</v>
      </c>
      <c r="B432" s="1" t="s">
        <v>3997</v>
      </c>
      <c r="C432" s="1">
        <v>8</v>
      </c>
      <c r="E432" s="40">
        <v>4339</v>
      </c>
    </row>
    <row r="433" spans="1:5" ht="12.75" hidden="1" customHeight="1" x14ac:dyDescent="0.2">
      <c r="A433" s="1">
        <v>364</v>
      </c>
      <c r="B433" s="1" t="s">
        <v>3998</v>
      </c>
      <c r="C433" s="1">
        <v>2</v>
      </c>
      <c r="E433" s="40">
        <v>4391</v>
      </c>
    </row>
    <row r="434" spans="1:5" ht="12.75" hidden="1" customHeight="1" x14ac:dyDescent="0.2">
      <c r="A434" s="1">
        <v>365</v>
      </c>
      <c r="B434" s="1" t="s">
        <v>3999</v>
      </c>
      <c r="C434" s="1">
        <v>4</v>
      </c>
      <c r="E434" s="40">
        <v>4399</v>
      </c>
    </row>
    <row r="435" spans="1:5" ht="12.75" hidden="1" customHeight="1" x14ac:dyDescent="0.2">
      <c r="A435" s="1">
        <v>366</v>
      </c>
      <c r="B435" s="1" t="s">
        <v>4000</v>
      </c>
      <c r="C435" s="1">
        <v>6</v>
      </c>
      <c r="E435" s="40">
        <v>4511</v>
      </c>
    </row>
    <row r="436" spans="1:5" ht="12.75" hidden="1" customHeight="1" x14ac:dyDescent="0.2">
      <c r="A436" s="1">
        <v>368</v>
      </c>
      <c r="B436" s="1" t="s">
        <v>4001</v>
      </c>
      <c r="C436" s="1">
        <v>18</v>
      </c>
      <c r="E436" s="40">
        <v>4519</v>
      </c>
    </row>
    <row r="437" spans="1:5" ht="12.75" hidden="1" customHeight="1" x14ac:dyDescent="0.2">
      <c r="A437" s="1">
        <v>369</v>
      </c>
      <c r="B437" s="1" t="s">
        <v>4002</v>
      </c>
      <c r="C437" s="1">
        <v>8</v>
      </c>
      <c r="E437" s="40">
        <v>4520</v>
      </c>
    </row>
    <row r="438" spans="1:5" ht="12.75" hidden="1" customHeight="1" x14ac:dyDescent="0.2">
      <c r="A438" s="1">
        <v>371</v>
      </c>
      <c r="B438" s="1" t="s">
        <v>4003</v>
      </c>
      <c r="C438" s="1">
        <v>13</v>
      </c>
      <c r="E438" s="40">
        <v>4531</v>
      </c>
    </row>
    <row r="439" spans="1:5" ht="12.75" hidden="1" customHeight="1" x14ac:dyDescent="0.2">
      <c r="A439" s="1">
        <v>372</v>
      </c>
      <c r="B439" s="1" t="s">
        <v>4004</v>
      </c>
      <c r="C439" s="1">
        <v>12</v>
      </c>
      <c r="E439" s="40">
        <v>4532</v>
      </c>
    </row>
    <row r="440" spans="1:5" ht="12.75" hidden="1" customHeight="1" x14ac:dyDescent="0.2">
      <c r="A440" s="1">
        <v>373</v>
      </c>
      <c r="B440" s="1" t="s">
        <v>4005</v>
      </c>
      <c r="C440" s="1">
        <v>8</v>
      </c>
      <c r="E440" s="40">
        <v>4540</v>
      </c>
    </row>
    <row r="441" spans="1:5" ht="12.75" hidden="1" customHeight="1" x14ac:dyDescent="0.2">
      <c r="A441" s="1">
        <v>374</v>
      </c>
      <c r="B441" s="1" t="s">
        <v>4006</v>
      </c>
      <c r="C441" s="1">
        <v>18</v>
      </c>
      <c r="E441" s="40">
        <v>4611</v>
      </c>
    </row>
    <row r="442" spans="1:5" ht="12.75" hidden="1" customHeight="1" x14ac:dyDescent="0.2">
      <c r="A442" s="1">
        <v>375</v>
      </c>
      <c r="B442" s="1" t="s">
        <v>4007</v>
      </c>
      <c r="C442" s="1">
        <v>7</v>
      </c>
      <c r="E442" s="40">
        <v>4612</v>
      </c>
    </row>
    <row r="443" spans="1:5" ht="12.75" hidden="1" customHeight="1" x14ac:dyDescent="0.2">
      <c r="A443" s="1">
        <v>376</v>
      </c>
      <c r="B443" s="1" t="s">
        <v>4008</v>
      </c>
      <c r="C443" s="1">
        <v>1</v>
      </c>
      <c r="E443" s="40">
        <v>4613</v>
      </c>
    </row>
    <row r="444" spans="1:5" ht="12.75" hidden="1" customHeight="1" x14ac:dyDescent="0.2">
      <c r="A444" s="1">
        <v>377</v>
      </c>
      <c r="B444" s="1" t="s">
        <v>4009</v>
      </c>
      <c r="C444" s="1">
        <v>15</v>
      </c>
      <c r="E444" s="40">
        <v>4614</v>
      </c>
    </row>
    <row r="445" spans="1:5" ht="12.75" hidden="1" customHeight="1" x14ac:dyDescent="0.2">
      <c r="A445" s="1">
        <v>378</v>
      </c>
      <c r="B445" s="1" t="s">
        <v>3893</v>
      </c>
      <c r="C445" s="1">
        <v>4</v>
      </c>
      <c r="E445" s="40">
        <v>4615</v>
      </c>
    </row>
    <row r="446" spans="1:5" ht="12.75" hidden="1" customHeight="1" x14ac:dyDescent="0.2">
      <c r="A446" s="1">
        <v>379</v>
      </c>
      <c r="B446" s="1" t="s">
        <v>3894</v>
      </c>
      <c r="C446" s="1">
        <v>13</v>
      </c>
      <c r="E446" s="40">
        <v>4616</v>
      </c>
    </row>
    <row r="447" spans="1:5" ht="12.75" hidden="1" customHeight="1" x14ac:dyDescent="0.2">
      <c r="A447" s="1">
        <v>380</v>
      </c>
      <c r="B447" s="1" t="s">
        <v>3895</v>
      </c>
      <c r="C447" s="1">
        <v>1</v>
      </c>
      <c r="E447" s="40">
        <v>4617</v>
      </c>
    </row>
    <row r="448" spans="1:5" ht="12.75" hidden="1" customHeight="1" x14ac:dyDescent="0.2">
      <c r="A448" s="1">
        <v>381</v>
      </c>
      <c r="B448" s="1" t="s">
        <v>3896</v>
      </c>
      <c r="C448" s="1">
        <v>14</v>
      </c>
      <c r="E448" s="40">
        <v>4618</v>
      </c>
    </row>
    <row r="449" spans="1:5" ht="12.75" hidden="1" customHeight="1" x14ac:dyDescent="0.2">
      <c r="A449" s="1">
        <v>382</v>
      </c>
      <c r="B449" s="1" t="s">
        <v>3897</v>
      </c>
      <c r="C449" s="1">
        <v>17</v>
      </c>
      <c r="E449" s="40">
        <v>4619</v>
      </c>
    </row>
    <row r="450" spans="1:5" ht="12.75" hidden="1" customHeight="1" x14ac:dyDescent="0.2">
      <c r="A450" s="1">
        <v>383</v>
      </c>
      <c r="B450" s="1" t="s">
        <v>3898</v>
      </c>
      <c r="C450" s="1">
        <v>17</v>
      </c>
      <c r="E450" s="40">
        <v>4621</v>
      </c>
    </row>
    <row r="451" spans="1:5" ht="12.75" hidden="1" customHeight="1" x14ac:dyDescent="0.2">
      <c r="A451" s="1">
        <v>385</v>
      </c>
      <c r="B451" s="1" t="s">
        <v>3899</v>
      </c>
      <c r="C451" s="1">
        <v>20</v>
      </c>
      <c r="E451" s="40">
        <v>4622</v>
      </c>
    </row>
    <row r="452" spans="1:5" ht="12.75" hidden="1" customHeight="1" x14ac:dyDescent="0.2">
      <c r="A452" s="1">
        <v>386</v>
      </c>
      <c r="B452" s="1" t="s">
        <v>3900</v>
      </c>
      <c r="C452" s="1">
        <v>14</v>
      </c>
      <c r="E452" s="40">
        <v>4623</v>
      </c>
    </row>
    <row r="453" spans="1:5" ht="12.75" hidden="1" customHeight="1" x14ac:dyDescent="0.2">
      <c r="A453" s="1">
        <v>387</v>
      </c>
      <c r="B453" s="1" t="s">
        <v>179</v>
      </c>
      <c r="C453" s="1">
        <v>9</v>
      </c>
      <c r="E453" s="40">
        <v>4624</v>
      </c>
    </row>
    <row r="454" spans="1:5" ht="12.75" hidden="1" customHeight="1" x14ac:dyDescent="0.2">
      <c r="A454" s="1">
        <v>388</v>
      </c>
      <c r="B454" s="1" t="s">
        <v>180</v>
      </c>
      <c r="C454" s="1">
        <v>12</v>
      </c>
      <c r="E454" s="40">
        <v>4631</v>
      </c>
    </row>
    <row r="455" spans="1:5" ht="12.75" hidden="1" customHeight="1" x14ac:dyDescent="0.2">
      <c r="A455" s="1">
        <v>389</v>
      </c>
      <c r="B455" s="1" t="s">
        <v>181</v>
      </c>
      <c r="C455" s="1">
        <v>17</v>
      </c>
      <c r="E455" s="40">
        <v>4632</v>
      </c>
    </row>
    <row r="456" spans="1:5" ht="12.75" hidden="1" customHeight="1" x14ac:dyDescent="0.2">
      <c r="A456" s="1">
        <v>390</v>
      </c>
      <c r="B456" s="1" t="s">
        <v>182</v>
      </c>
      <c r="C456" s="1">
        <v>7</v>
      </c>
      <c r="E456" s="40">
        <v>4633</v>
      </c>
    </row>
    <row r="457" spans="1:5" ht="12.75" hidden="1" customHeight="1" x14ac:dyDescent="0.2">
      <c r="A457" s="1">
        <v>391</v>
      </c>
      <c r="B457" s="1" t="s">
        <v>183</v>
      </c>
      <c r="C457" s="1">
        <v>3</v>
      </c>
      <c r="E457" s="40">
        <v>4634</v>
      </c>
    </row>
    <row r="458" spans="1:5" ht="12.75" hidden="1" customHeight="1" x14ac:dyDescent="0.2">
      <c r="A458" s="1">
        <v>393</v>
      </c>
      <c r="B458" s="1" t="s">
        <v>184</v>
      </c>
      <c r="C458" s="1">
        <v>8</v>
      </c>
      <c r="E458" s="40">
        <v>4635</v>
      </c>
    </row>
    <row r="459" spans="1:5" ht="12.75" hidden="1" customHeight="1" x14ac:dyDescent="0.2">
      <c r="A459" s="1">
        <v>394</v>
      </c>
      <c r="B459" s="1" t="s">
        <v>185</v>
      </c>
      <c r="C459" s="1">
        <v>15</v>
      </c>
      <c r="E459" s="40">
        <v>4636</v>
      </c>
    </row>
    <row r="460" spans="1:5" ht="12.75" hidden="1" customHeight="1" x14ac:dyDescent="0.2">
      <c r="A460" s="1">
        <v>395</v>
      </c>
      <c r="B460" s="1" t="s">
        <v>186</v>
      </c>
      <c r="C460" s="1">
        <v>10</v>
      </c>
      <c r="E460" s="40">
        <v>4637</v>
      </c>
    </row>
    <row r="461" spans="1:5" ht="12.75" hidden="1" customHeight="1" x14ac:dyDescent="0.2">
      <c r="A461" s="1">
        <v>396</v>
      </c>
      <c r="B461" s="1" t="s">
        <v>187</v>
      </c>
      <c r="C461" s="1">
        <v>12</v>
      </c>
      <c r="E461" s="40">
        <v>4638</v>
      </c>
    </row>
    <row r="462" spans="1:5" ht="12.75" hidden="1" customHeight="1" x14ac:dyDescent="0.2">
      <c r="A462" s="1">
        <v>397</v>
      </c>
      <c r="B462" s="1" t="s">
        <v>188</v>
      </c>
      <c r="C462" s="1">
        <v>12</v>
      </c>
      <c r="E462" s="40">
        <v>4639</v>
      </c>
    </row>
    <row r="463" spans="1:5" ht="12.75" hidden="1" customHeight="1" x14ac:dyDescent="0.2">
      <c r="A463" s="1">
        <v>399</v>
      </c>
      <c r="B463" s="1" t="s">
        <v>189</v>
      </c>
      <c r="C463" s="1">
        <v>19</v>
      </c>
      <c r="E463" s="40">
        <v>4641</v>
      </c>
    </row>
    <row r="464" spans="1:5" ht="12.75" hidden="1" customHeight="1" x14ac:dyDescent="0.2">
      <c r="A464" s="1">
        <v>400</v>
      </c>
      <c r="B464" s="1" t="s">
        <v>190</v>
      </c>
      <c r="C464" s="1">
        <v>4</v>
      </c>
      <c r="E464" s="40">
        <v>4642</v>
      </c>
    </row>
    <row r="465" spans="1:5" ht="12.75" hidden="1" customHeight="1" x14ac:dyDescent="0.2">
      <c r="A465" s="1">
        <v>402</v>
      </c>
      <c r="B465" s="1" t="s">
        <v>191</v>
      </c>
      <c r="C465" s="1">
        <v>19</v>
      </c>
      <c r="E465" s="40">
        <v>4643</v>
      </c>
    </row>
    <row r="466" spans="1:5" ht="12.75" hidden="1" customHeight="1" x14ac:dyDescent="0.2">
      <c r="A466" s="1">
        <v>405</v>
      </c>
      <c r="B466" s="1" t="s">
        <v>192</v>
      </c>
      <c r="C466" s="1">
        <v>6</v>
      </c>
      <c r="E466" s="40">
        <v>4644</v>
      </c>
    </row>
    <row r="467" spans="1:5" ht="12.75" hidden="1" customHeight="1" x14ac:dyDescent="0.2">
      <c r="A467" s="1">
        <v>406</v>
      </c>
      <c r="B467" s="1" t="s">
        <v>193</v>
      </c>
      <c r="C467" s="1">
        <v>17</v>
      </c>
      <c r="E467" s="40">
        <v>4645</v>
      </c>
    </row>
    <row r="468" spans="1:5" ht="12.75" hidden="1" customHeight="1" x14ac:dyDescent="0.2">
      <c r="A468" s="1">
        <v>407</v>
      </c>
      <c r="B468" s="1" t="s">
        <v>194</v>
      </c>
      <c r="C468" s="1">
        <v>10</v>
      </c>
      <c r="E468" s="40">
        <v>4646</v>
      </c>
    </row>
    <row r="469" spans="1:5" ht="12.75" hidden="1" customHeight="1" x14ac:dyDescent="0.2">
      <c r="A469" s="1">
        <v>409</v>
      </c>
      <c r="B469" s="1" t="s">
        <v>195</v>
      </c>
      <c r="C469" s="1">
        <v>17</v>
      </c>
      <c r="E469" s="40">
        <v>4647</v>
      </c>
    </row>
    <row r="470" spans="1:5" ht="12.75" hidden="1" customHeight="1" x14ac:dyDescent="0.2">
      <c r="A470" s="1">
        <v>410</v>
      </c>
      <c r="B470" s="1" t="s">
        <v>196</v>
      </c>
      <c r="C470" s="1">
        <v>5</v>
      </c>
      <c r="E470" s="40">
        <v>4648</v>
      </c>
    </row>
    <row r="471" spans="1:5" ht="12.75" hidden="1" customHeight="1" x14ac:dyDescent="0.2">
      <c r="A471" s="1">
        <v>411</v>
      </c>
      <c r="B471" s="1" t="s">
        <v>197</v>
      </c>
      <c r="C471" s="1">
        <v>13</v>
      </c>
      <c r="E471" s="40">
        <v>4649</v>
      </c>
    </row>
    <row r="472" spans="1:5" ht="12.75" hidden="1" customHeight="1" x14ac:dyDescent="0.2">
      <c r="A472" s="1">
        <v>412</v>
      </c>
      <c r="B472" s="1" t="s">
        <v>198</v>
      </c>
      <c r="C472" s="1">
        <v>12</v>
      </c>
      <c r="E472" s="40">
        <v>4651</v>
      </c>
    </row>
    <row r="473" spans="1:5" ht="12.75" hidden="1" customHeight="1" x14ac:dyDescent="0.2">
      <c r="A473" s="1">
        <v>413</v>
      </c>
      <c r="B473" s="1" t="s">
        <v>199</v>
      </c>
      <c r="C473" s="1">
        <v>17</v>
      </c>
      <c r="E473" s="40">
        <v>4652</v>
      </c>
    </row>
    <row r="474" spans="1:5" ht="12.75" hidden="1" customHeight="1" x14ac:dyDescent="0.2">
      <c r="A474" s="1">
        <v>414</v>
      </c>
      <c r="B474" s="1" t="s">
        <v>996</v>
      </c>
      <c r="C474" s="1">
        <v>16</v>
      </c>
      <c r="E474" s="40">
        <v>4661</v>
      </c>
    </row>
    <row r="475" spans="1:5" ht="12.75" hidden="1" customHeight="1" x14ac:dyDescent="0.2">
      <c r="A475" s="1">
        <v>415</v>
      </c>
      <c r="B475" s="1" t="s">
        <v>997</v>
      </c>
      <c r="C475" s="1">
        <v>16</v>
      </c>
      <c r="E475" s="40">
        <v>4662</v>
      </c>
    </row>
    <row r="476" spans="1:5" ht="12.75" hidden="1" customHeight="1" x14ac:dyDescent="0.2">
      <c r="A476" s="1">
        <v>416</v>
      </c>
      <c r="B476" s="1" t="s">
        <v>998</v>
      </c>
      <c r="C476" s="1">
        <v>13</v>
      </c>
      <c r="E476" s="40">
        <v>4663</v>
      </c>
    </row>
    <row r="477" spans="1:5" ht="12.75" hidden="1" customHeight="1" x14ac:dyDescent="0.2">
      <c r="A477" s="1">
        <v>418</v>
      </c>
      <c r="B477" s="1" t="s">
        <v>2212</v>
      </c>
      <c r="C477" s="1">
        <v>12</v>
      </c>
      <c r="E477" s="40">
        <v>4664</v>
      </c>
    </row>
    <row r="478" spans="1:5" ht="12.75" hidden="1" customHeight="1" x14ac:dyDescent="0.2">
      <c r="A478" s="1">
        <v>419</v>
      </c>
      <c r="B478" s="1" t="s">
        <v>2213</v>
      </c>
      <c r="C478" s="1">
        <v>19</v>
      </c>
      <c r="E478" s="40">
        <v>4665</v>
      </c>
    </row>
    <row r="479" spans="1:5" ht="12.75" hidden="1" customHeight="1" x14ac:dyDescent="0.2">
      <c r="A479" s="1">
        <v>421</v>
      </c>
      <c r="B479" s="1" t="s">
        <v>2214</v>
      </c>
      <c r="C479" s="1">
        <v>14</v>
      </c>
      <c r="E479" s="40">
        <v>4666</v>
      </c>
    </row>
    <row r="480" spans="1:5" ht="12.75" hidden="1" customHeight="1" x14ac:dyDescent="0.2">
      <c r="A480" s="1">
        <v>422</v>
      </c>
      <c r="B480" s="1" t="s">
        <v>2215</v>
      </c>
      <c r="C480" s="1">
        <v>2</v>
      </c>
      <c r="E480" s="40">
        <v>4669</v>
      </c>
    </row>
    <row r="481" spans="1:5" ht="12.75" hidden="1" customHeight="1" x14ac:dyDescent="0.2">
      <c r="A481" s="1">
        <v>423</v>
      </c>
      <c r="B481" s="1" t="s">
        <v>2216</v>
      </c>
      <c r="C481" s="1">
        <v>17</v>
      </c>
      <c r="E481" s="40">
        <v>4671</v>
      </c>
    </row>
    <row r="482" spans="1:5" ht="12.75" hidden="1" customHeight="1" x14ac:dyDescent="0.2">
      <c r="A482" s="1">
        <v>424</v>
      </c>
      <c r="B482" s="1" t="s">
        <v>2217</v>
      </c>
      <c r="C482" s="1">
        <v>10</v>
      </c>
      <c r="E482" s="40">
        <v>4672</v>
      </c>
    </row>
    <row r="483" spans="1:5" ht="12.75" hidden="1" customHeight="1" x14ac:dyDescent="0.2">
      <c r="A483" s="1">
        <v>425</v>
      </c>
      <c r="B483" s="1" t="s">
        <v>2218</v>
      </c>
      <c r="C483" s="1">
        <v>13</v>
      </c>
      <c r="E483" s="40">
        <v>4673</v>
      </c>
    </row>
    <row r="484" spans="1:5" ht="12.75" hidden="1" customHeight="1" x14ac:dyDescent="0.2">
      <c r="A484" s="1">
        <v>426</v>
      </c>
      <c r="B484" s="1" t="s">
        <v>2219</v>
      </c>
      <c r="C484" s="1">
        <v>3</v>
      </c>
      <c r="E484" s="40">
        <v>4674</v>
      </c>
    </row>
    <row r="485" spans="1:5" ht="12.75" hidden="1" customHeight="1" x14ac:dyDescent="0.2">
      <c r="A485" s="1">
        <v>427</v>
      </c>
      <c r="B485" s="1" t="s">
        <v>2220</v>
      </c>
      <c r="C485" s="1">
        <v>17</v>
      </c>
      <c r="E485" s="40">
        <v>4675</v>
      </c>
    </row>
    <row r="486" spans="1:5" ht="12.75" hidden="1" customHeight="1" x14ac:dyDescent="0.2">
      <c r="A486" s="1">
        <v>428</v>
      </c>
      <c r="B486" s="1" t="s">
        <v>2221</v>
      </c>
      <c r="C486" s="1">
        <v>13</v>
      </c>
      <c r="E486" s="40">
        <v>4676</v>
      </c>
    </row>
    <row r="487" spans="1:5" ht="12.75" hidden="1" customHeight="1" x14ac:dyDescent="0.2">
      <c r="A487" s="1">
        <v>429</v>
      </c>
      <c r="B487" s="1" t="s">
        <v>2222</v>
      </c>
      <c r="C487" s="1">
        <v>1</v>
      </c>
      <c r="E487" s="40">
        <v>4677</v>
      </c>
    </row>
    <row r="488" spans="1:5" ht="12.75" hidden="1" customHeight="1" x14ac:dyDescent="0.2">
      <c r="A488" s="1">
        <v>430</v>
      </c>
      <c r="B488" s="1" t="s">
        <v>2223</v>
      </c>
      <c r="C488" s="1">
        <v>2</v>
      </c>
      <c r="E488" s="40">
        <v>4690</v>
      </c>
    </row>
    <row r="489" spans="1:5" ht="12.75" hidden="1" customHeight="1" x14ac:dyDescent="0.2">
      <c r="A489" s="1">
        <v>431</v>
      </c>
      <c r="B489" s="1" t="s">
        <v>2224</v>
      </c>
      <c r="C489" s="1">
        <v>18</v>
      </c>
      <c r="E489" s="40">
        <v>4711</v>
      </c>
    </row>
    <row r="490" spans="1:5" ht="12.75" hidden="1" customHeight="1" x14ac:dyDescent="0.2">
      <c r="A490" s="1">
        <v>432</v>
      </c>
      <c r="B490" s="1" t="s">
        <v>2225</v>
      </c>
      <c r="C490" s="1">
        <v>18</v>
      </c>
      <c r="E490" s="40">
        <v>4719</v>
      </c>
    </row>
    <row r="491" spans="1:5" ht="12.75" hidden="1" customHeight="1" x14ac:dyDescent="0.2">
      <c r="A491" s="1">
        <v>433</v>
      </c>
      <c r="B491" s="1" t="s">
        <v>2226</v>
      </c>
      <c r="C491" s="1">
        <v>18</v>
      </c>
      <c r="E491" s="40">
        <v>4721</v>
      </c>
    </row>
    <row r="492" spans="1:5" ht="12.75" hidden="1" customHeight="1" x14ac:dyDescent="0.2">
      <c r="A492" s="1">
        <v>435</v>
      </c>
      <c r="B492" s="1" t="s">
        <v>2227</v>
      </c>
      <c r="C492" s="1">
        <v>18</v>
      </c>
      <c r="E492" s="40">
        <v>4722</v>
      </c>
    </row>
    <row r="493" spans="1:5" ht="12.75" hidden="1" customHeight="1" x14ac:dyDescent="0.2">
      <c r="A493" s="1">
        <v>436</v>
      </c>
      <c r="B493" s="1" t="s">
        <v>536</v>
      </c>
      <c r="C493" s="1">
        <v>1</v>
      </c>
      <c r="E493" s="40">
        <v>4723</v>
      </c>
    </row>
    <row r="494" spans="1:5" ht="12.75" hidden="1" customHeight="1" x14ac:dyDescent="0.2">
      <c r="A494" s="1">
        <v>437</v>
      </c>
      <c r="B494" s="1" t="s">
        <v>537</v>
      </c>
      <c r="C494" s="1">
        <v>5</v>
      </c>
      <c r="E494" s="40">
        <v>4724</v>
      </c>
    </row>
    <row r="495" spans="1:5" ht="12.75" hidden="1" customHeight="1" x14ac:dyDescent="0.2">
      <c r="A495" s="1">
        <v>438</v>
      </c>
      <c r="B495" s="1" t="s">
        <v>538</v>
      </c>
      <c r="C495" s="1">
        <v>5</v>
      </c>
      <c r="E495" s="40">
        <v>4725</v>
      </c>
    </row>
    <row r="496" spans="1:5" ht="12.75" hidden="1" customHeight="1" x14ac:dyDescent="0.2">
      <c r="A496" s="1">
        <v>439</v>
      </c>
      <c r="B496" s="1" t="s">
        <v>539</v>
      </c>
      <c r="C496" s="1">
        <v>6</v>
      </c>
      <c r="E496" s="40">
        <v>4726</v>
      </c>
    </row>
    <row r="497" spans="1:5" ht="12.75" hidden="1" customHeight="1" x14ac:dyDescent="0.2">
      <c r="A497" s="1">
        <v>440</v>
      </c>
      <c r="B497" s="1" t="s">
        <v>540</v>
      </c>
      <c r="C497" s="1">
        <v>20</v>
      </c>
      <c r="E497" s="40">
        <v>4729</v>
      </c>
    </row>
    <row r="498" spans="1:5" ht="12.75" hidden="1" customHeight="1" x14ac:dyDescent="0.2">
      <c r="A498" s="1">
        <v>441</v>
      </c>
      <c r="B498" s="1" t="s">
        <v>541</v>
      </c>
      <c r="C498" s="1">
        <v>20</v>
      </c>
      <c r="E498" s="40">
        <v>4730</v>
      </c>
    </row>
    <row r="499" spans="1:5" ht="12.75" hidden="1" customHeight="1" x14ac:dyDescent="0.2">
      <c r="A499" s="1">
        <v>442</v>
      </c>
      <c r="B499" s="1" t="s">
        <v>542</v>
      </c>
      <c r="C499" s="1">
        <v>6</v>
      </c>
      <c r="E499" s="40">
        <v>4741</v>
      </c>
    </row>
    <row r="500" spans="1:5" ht="12.75" hidden="1" customHeight="1" x14ac:dyDescent="0.2">
      <c r="A500" s="1">
        <v>443</v>
      </c>
      <c r="B500" s="1" t="s">
        <v>2774</v>
      </c>
      <c r="C500" s="1">
        <v>17</v>
      </c>
      <c r="E500" s="40">
        <v>4742</v>
      </c>
    </row>
    <row r="501" spans="1:5" ht="12.75" hidden="1" customHeight="1" x14ac:dyDescent="0.2">
      <c r="A501" s="1">
        <v>444</v>
      </c>
      <c r="B501" s="1" t="s">
        <v>3377</v>
      </c>
      <c r="C501" s="1">
        <v>15</v>
      </c>
      <c r="E501" s="40">
        <v>4743</v>
      </c>
    </row>
    <row r="502" spans="1:5" ht="12.75" hidden="1" customHeight="1" x14ac:dyDescent="0.2">
      <c r="A502" s="1">
        <v>445</v>
      </c>
      <c r="B502" s="1" t="s">
        <v>1391</v>
      </c>
      <c r="C502" s="1">
        <v>13</v>
      </c>
      <c r="E502" s="40">
        <v>4751</v>
      </c>
    </row>
    <row r="503" spans="1:5" ht="12.75" hidden="1" customHeight="1" x14ac:dyDescent="0.2">
      <c r="A503" s="1">
        <v>447</v>
      </c>
      <c r="B503" s="1" t="s">
        <v>3664</v>
      </c>
      <c r="C503" s="1">
        <v>17</v>
      </c>
      <c r="E503" s="40">
        <v>4752</v>
      </c>
    </row>
    <row r="504" spans="1:5" ht="12.75" hidden="1" customHeight="1" x14ac:dyDescent="0.2">
      <c r="A504" s="1">
        <v>449</v>
      </c>
      <c r="B504" s="1" t="s">
        <v>3580</v>
      </c>
      <c r="C504" s="1">
        <v>10</v>
      </c>
      <c r="E504" s="40">
        <v>4753</v>
      </c>
    </row>
    <row r="505" spans="1:5" ht="12.75" hidden="1" customHeight="1" x14ac:dyDescent="0.2">
      <c r="A505" s="1">
        <v>450</v>
      </c>
      <c r="B505" s="1" t="s">
        <v>3581</v>
      </c>
      <c r="C505" s="1">
        <v>7</v>
      </c>
      <c r="E505" s="40">
        <v>4754</v>
      </c>
    </row>
    <row r="506" spans="1:5" ht="12.75" hidden="1" customHeight="1" x14ac:dyDescent="0.2">
      <c r="A506" s="1">
        <v>452</v>
      </c>
      <c r="B506" s="1" t="s">
        <v>3582</v>
      </c>
      <c r="C506" s="1">
        <v>20</v>
      </c>
      <c r="E506" s="40">
        <v>4759</v>
      </c>
    </row>
    <row r="507" spans="1:5" ht="12.75" hidden="1" customHeight="1" x14ac:dyDescent="0.2">
      <c r="A507" s="1">
        <v>453</v>
      </c>
      <c r="B507" s="1" t="s">
        <v>3583</v>
      </c>
      <c r="C507" s="1">
        <v>18</v>
      </c>
      <c r="E507" s="40">
        <v>4761</v>
      </c>
    </row>
    <row r="508" spans="1:5" ht="12.75" hidden="1" customHeight="1" x14ac:dyDescent="0.2">
      <c r="A508" s="1">
        <v>454</v>
      </c>
      <c r="B508" s="1" t="s">
        <v>3584</v>
      </c>
      <c r="C508" s="1">
        <v>15</v>
      </c>
      <c r="E508" s="40">
        <v>4762</v>
      </c>
    </row>
    <row r="509" spans="1:5" ht="12.75" hidden="1" customHeight="1" x14ac:dyDescent="0.2">
      <c r="A509" s="1">
        <v>455</v>
      </c>
      <c r="B509" s="1" t="s">
        <v>3585</v>
      </c>
      <c r="C509" s="1">
        <v>9</v>
      </c>
      <c r="E509" s="40">
        <v>4763</v>
      </c>
    </row>
    <row r="510" spans="1:5" ht="12.75" hidden="1" customHeight="1" x14ac:dyDescent="0.2">
      <c r="A510" s="1">
        <v>456</v>
      </c>
      <c r="B510" s="1" t="s">
        <v>3586</v>
      </c>
      <c r="C510" s="1">
        <v>16</v>
      </c>
      <c r="E510" s="40">
        <v>4764</v>
      </c>
    </row>
    <row r="511" spans="1:5" ht="12.75" hidden="1" customHeight="1" x14ac:dyDescent="0.2">
      <c r="A511" s="1">
        <v>457</v>
      </c>
      <c r="B511" s="1" t="s">
        <v>3587</v>
      </c>
      <c r="C511" s="1">
        <v>3</v>
      </c>
      <c r="E511" s="40">
        <v>4765</v>
      </c>
    </row>
    <row r="512" spans="1:5" ht="12.75" hidden="1" customHeight="1" x14ac:dyDescent="0.2">
      <c r="A512" s="1">
        <v>458</v>
      </c>
      <c r="B512" s="1" t="s">
        <v>3588</v>
      </c>
      <c r="C512" s="1">
        <v>16</v>
      </c>
      <c r="E512" s="40">
        <v>4771</v>
      </c>
    </row>
    <row r="513" spans="1:5" ht="12.75" hidden="1" customHeight="1" x14ac:dyDescent="0.2">
      <c r="A513" s="1">
        <v>459</v>
      </c>
      <c r="B513" s="1" t="s">
        <v>3589</v>
      </c>
      <c r="C513" s="1">
        <v>16</v>
      </c>
      <c r="E513" s="40">
        <v>4772</v>
      </c>
    </row>
    <row r="514" spans="1:5" ht="12.75" hidden="1" customHeight="1" x14ac:dyDescent="0.2">
      <c r="A514" s="1">
        <v>460</v>
      </c>
      <c r="B514" s="1" t="s">
        <v>3590</v>
      </c>
      <c r="C514" s="1">
        <v>17</v>
      </c>
      <c r="E514" s="40">
        <v>4773</v>
      </c>
    </row>
    <row r="515" spans="1:5" ht="12.75" hidden="1" customHeight="1" x14ac:dyDescent="0.2">
      <c r="A515" s="1">
        <v>461</v>
      </c>
      <c r="B515" s="1" t="s">
        <v>3591</v>
      </c>
      <c r="C515" s="1">
        <v>14</v>
      </c>
      <c r="E515" s="40">
        <v>4774</v>
      </c>
    </row>
    <row r="516" spans="1:5" ht="12.75" hidden="1" customHeight="1" x14ac:dyDescent="0.2">
      <c r="A516" s="1">
        <v>462</v>
      </c>
      <c r="B516" s="1" t="s">
        <v>3592</v>
      </c>
      <c r="C516" s="1">
        <v>5</v>
      </c>
      <c r="E516" s="40">
        <v>4775</v>
      </c>
    </row>
    <row r="517" spans="1:5" ht="12.75" hidden="1" customHeight="1" x14ac:dyDescent="0.2">
      <c r="A517" s="1">
        <v>463</v>
      </c>
      <c r="B517" s="1" t="s">
        <v>3593</v>
      </c>
      <c r="C517" s="1">
        <v>17</v>
      </c>
      <c r="E517" s="40">
        <v>4776</v>
      </c>
    </row>
    <row r="518" spans="1:5" ht="12.75" hidden="1" customHeight="1" x14ac:dyDescent="0.2">
      <c r="A518" s="1">
        <v>464</v>
      </c>
      <c r="B518" s="1" t="s">
        <v>3594</v>
      </c>
      <c r="C518" s="1">
        <v>16</v>
      </c>
      <c r="E518" s="40">
        <v>4777</v>
      </c>
    </row>
    <row r="519" spans="1:5" ht="12.75" hidden="1" customHeight="1" x14ac:dyDescent="0.2">
      <c r="A519" s="1">
        <v>466</v>
      </c>
      <c r="B519" s="1" t="s">
        <v>3595</v>
      </c>
      <c r="C519" s="1">
        <v>2</v>
      </c>
      <c r="E519" s="40">
        <v>4778</v>
      </c>
    </row>
    <row r="520" spans="1:5" ht="12.75" hidden="1" customHeight="1" x14ac:dyDescent="0.2">
      <c r="A520" s="1">
        <v>467</v>
      </c>
      <c r="B520" s="1" t="s">
        <v>3596</v>
      </c>
      <c r="C520" s="1">
        <v>9</v>
      </c>
      <c r="E520" s="40">
        <v>4779</v>
      </c>
    </row>
    <row r="521" spans="1:5" ht="12.75" hidden="1" customHeight="1" x14ac:dyDescent="0.2">
      <c r="A521" s="1">
        <v>468</v>
      </c>
      <c r="B521" s="1" t="s">
        <v>3597</v>
      </c>
      <c r="C521" s="1">
        <v>18</v>
      </c>
      <c r="E521" s="40">
        <v>4781</v>
      </c>
    </row>
    <row r="522" spans="1:5" ht="12.75" hidden="1" customHeight="1" x14ac:dyDescent="0.2">
      <c r="A522" s="1">
        <v>469</v>
      </c>
      <c r="B522" s="1" t="s">
        <v>3598</v>
      </c>
      <c r="C522" s="1">
        <v>15</v>
      </c>
      <c r="E522" s="40">
        <v>4782</v>
      </c>
    </row>
    <row r="523" spans="1:5" ht="12.75" hidden="1" customHeight="1" x14ac:dyDescent="0.2">
      <c r="A523" s="1">
        <v>471</v>
      </c>
      <c r="B523" s="1" t="s">
        <v>3599</v>
      </c>
      <c r="C523" s="1">
        <v>14</v>
      </c>
      <c r="E523" s="40">
        <v>4789</v>
      </c>
    </row>
    <row r="524" spans="1:5" ht="12.75" hidden="1" customHeight="1" x14ac:dyDescent="0.2">
      <c r="A524" s="1">
        <v>472</v>
      </c>
      <c r="B524" s="1" t="s">
        <v>3600</v>
      </c>
      <c r="C524" s="1">
        <v>5</v>
      </c>
      <c r="E524" s="40">
        <v>4791</v>
      </c>
    </row>
    <row r="525" spans="1:5" ht="12.75" hidden="1" customHeight="1" x14ac:dyDescent="0.2">
      <c r="A525" s="1">
        <v>473</v>
      </c>
      <c r="B525" s="1" t="s">
        <v>92</v>
      </c>
      <c r="C525" s="1">
        <v>5</v>
      </c>
      <c r="E525" s="40">
        <v>4799</v>
      </c>
    </row>
    <row r="526" spans="1:5" ht="12.75" hidden="1" customHeight="1" x14ac:dyDescent="0.2">
      <c r="A526" s="1">
        <v>474</v>
      </c>
      <c r="B526" s="1" t="s">
        <v>93</v>
      </c>
      <c r="C526" s="1">
        <v>19</v>
      </c>
      <c r="E526" s="40">
        <v>4910</v>
      </c>
    </row>
    <row r="527" spans="1:5" ht="12.75" hidden="1" customHeight="1" x14ac:dyDescent="0.2">
      <c r="A527" s="1">
        <v>475</v>
      </c>
      <c r="B527" s="1" t="s">
        <v>94</v>
      </c>
      <c r="C527" s="1">
        <v>11</v>
      </c>
      <c r="E527" s="40">
        <v>4920</v>
      </c>
    </row>
    <row r="528" spans="1:5" ht="12.75" hidden="1" customHeight="1" x14ac:dyDescent="0.2">
      <c r="A528" s="1">
        <v>476</v>
      </c>
      <c r="B528" s="1" t="s">
        <v>95</v>
      </c>
      <c r="C528" s="1">
        <v>12</v>
      </c>
      <c r="E528" s="40">
        <v>4931</v>
      </c>
    </row>
    <row r="529" spans="1:5" ht="12.75" hidden="1" customHeight="1" x14ac:dyDescent="0.2">
      <c r="A529" s="1">
        <v>477</v>
      </c>
      <c r="B529" s="1" t="s">
        <v>96</v>
      </c>
      <c r="C529" s="1">
        <v>3</v>
      </c>
      <c r="E529" s="40">
        <v>4932</v>
      </c>
    </row>
    <row r="530" spans="1:5" ht="12.75" hidden="1" customHeight="1" x14ac:dyDescent="0.2">
      <c r="A530" s="1">
        <v>478</v>
      </c>
      <c r="B530" s="1" t="s">
        <v>97</v>
      </c>
      <c r="C530" s="1">
        <v>7</v>
      </c>
      <c r="E530" s="40">
        <v>4939</v>
      </c>
    </row>
    <row r="531" spans="1:5" ht="12.75" hidden="1" customHeight="1" x14ac:dyDescent="0.2">
      <c r="A531" s="1">
        <v>480</v>
      </c>
      <c r="B531" s="1" t="s">
        <v>98</v>
      </c>
      <c r="C531" s="1">
        <v>7</v>
      </c>
      <c r="E531" s="40">
        <v>4941</v>
      </c>
    </row>
    <row r="532" spans="1:5" ht="12.75" hidden="1" customHeight="1" x14ac:dyDescent="0.2">
      <c r="A532" s="1">
        <v>481</v>
      </c>
      <c r="B532" s="1" t="s">
        <v>1901</v>
      </c>
      <c r="C532" s="1">
        <v>2</v>
      </c>
      <c r="E532" s="40">
        <v>4942</v>
      </c>
    </row>
    <row r="533" spans="1:5" ht="12.75" hidden="1" customHeight="1" x14ac:dyDescent="0.2">
      <c r="A533" s="1">
        <v>483</v>
      </c>
      <c r="B533" s="1" t="s">
        <v>1902</v>
      </c>
      <c r="C533" s="1">
        <v>7</v>
      </c>
      <c r="E533" s="40">
        <v>4950</v>
      </c>
    </row>
    <row r="534" spans="1:5" ht="12.75" hidden="1" customHeight="1" x14ac:dyDescent="0.2">
      <c r="A534" s="1">
        <v>484</v>
      </c>
      <c r="B534" s="1" t="s">
        <v>1903</v>
      </c>
      <c r="C534" s="1">
        <v>5</v>
      </c>
      <c r="E534" s="40">
        <v>5010</v>
      </c>
    </row>
    <row r="535" spans="1:5" ht="12.75" hidden="1" customHeight="1" x14ac:dyDescent="0.2">
      <c r="A535" s="1">
        <v>485</v>
      </c>
      <c r="B535" s="1" t="s">
        <v>1904</v>
      </c>
      <c r="C535" s="1">
        <v>14</v>
      </c>
      <c r="E535" s="40">
        <v>5020</v>
      </c>
    </row>
    <row r="536" spans="1:5" ht="12.75" hidden="1" customHeight="1" x14ac:dyDescent="0.2">
      <c r="A536" s="1">
        <v>486</v>
      </c>
      <c r="B536" s="1" t="s">
        <v>1905</v>
      </c>
      <c r="C536" s="1">
        <v>5</v>
      </c>
      <c r="E536" s="40">
        <v>5030</v>
      </c>
    </row>
    <row r="537" spans="1:5" ht="12.75" hidden="1" customHeight="1" x14ac:dyDescent="0.2">
      <c r="A537" s="1">
        <v>487</v>
      </c>
      <c r="B537" s="1" t="s">
        <v>1906</v>
      </c>
      <c r="C537" s="1">
        <v>16</v>
      </c>
      <c r="E537" s="40">
        <v>5040</v>
      </c>
    </row>
    <row r="538" spans="1:5" ht="12.75" hidden="1" customHeight="1" x14ac:dyDescent="0.2">
      <c r="A538" s="1">
        <v>488</v>
      </c>
      <c r="B538" s="1" t="s">
        <v>424</v>
      </c>
      <c r="C538" s="1">
        <v>8</v>
      </c>
      <c r="E538" s="40">
        <v>5110</v>
      </c>
    </row>
    <row r="539" spans="1:5" ht="12.75" hidden="1" customHeight="1" x14ac:dyDescent="0.2">
      <c r="A539" s="1">
        <v>489</v>
      </c>
      <c r="B539" s="1" t="s">
        <v>425</v>
      </c>
      <c r="C539" s="1">
        <v>13</v>
      </c>
      <c r="E539" s="40">
        <v>5121</v>
      </c>
    </row>
    <row r="540" spans="1:5" ht="12.75" hidden="1" customHeight="1" x14ac:dyDescent="0.2">
      <c r="A540" s="1">
        <v>490</v>
      </c>
      <c r="B540" s="1" t="s">
        <v>426</v>
      </c>
      <c r="C540" s="1">
        <v>6</v>
      </c>
      <c r="E540" s="40">
        <v>5122</v>
      </c>
    </row>
    <row r="541" spans="1:5" ht="12.75" hidden="1" customHeight="1" x14ac:dyDescent="0.2">
      <c r="A541" s="1">
        <v>491</v>
      </c>
      <c r="B541" s="1" t="s">
        <v>427</v>
      </c>
      <c r="C541" s="1">
        <v>10</v>
      </c>
      <c r="E541" s="40">
        <v>5210</v>
      </c>
    </row>
    <row r="542" spans="1:5" ht="12.75" hidden="1" customHeight="1" x14ac:dyDescent="0.2">
      <c r="A542" s="1">
        <v>492</v>
      </c>
      <c r="B542" s="1" t="s">
        <v>428</v>
      </c>
      <c r="C542" s="1">
        <v>17</v>
      </c>
      <c r="E542" s="40">
        <v>5221</v>
      </c>
    </row>
    <row r="543" spans="1:5" ht="12.75" hidden="1" customHeight="1" x14ac:dyDescent="0.2">
      <c r="A543" s="1">
        <v>493</v>
      </c>
      <c r="B543" s="1" t="s">
        <v>429</v>
      </c>
      <c r="C543" s="1">
        <v>5</v>
      </c>
      <c r="E543" s="40">
        <v>5222</v>
      </c>
    </row>
    <row r="544" spans="1:5" ht="12.75" hidden="1" customHeight="1" x14ac:dyDescent="0.2">
      <c r="A544" s="1">
        <v>494</v>
      </c>
      <c r="B544" s="1" t="s">
        <v>430</v>
      </c>
      <c r="C544" s="1">
        <v>14</v>
      </c>
      <c r="E544" s="40">
        <v>5223</v>
      </c>
    </row>
    <row r="545" spans="1:5" ht="12.75" hidden="1" customHeight="1" x14ac:dyDescent="0.2">
      <c r="A545" s="1">
        <v>495</v>
      </c>
      <c r="B545" s="1" t="s">
        <v>431</v>
      </c>
      <c r="C545" s="1">
        <v>8</v>
      </c>
      <c r="E545" s="40">
        <v>5224</v>
      </c>
    </row>
    <row r="546" spans="1:5" ht="12.75" hidden="1" customHeight="1" x14ac:dyDescent="0.2">
      <c r="A546" s="1">
        <v>497</v>
      </c>
      <c r="B546" s="1" t="s">
        <v>432</v>
      </c>
      <c r="C546" s="1">
        <v>18</v>
      </c>
      <c r="E546" s="40">
        <v>5229</v>
      </c>
    </row>
    <row r="547" spans="1:5" ht="12.75" hidden="1" customHeight="1" x14ac:dyDescent="0.2">
      <c r="A547" s="1">
        <v>498</v>
      </c>
      <c r="B547" s="1" t="s">
        <v>433</v>
      </c>
      <c r="C547" s="1">
        <v>18</v>
      </c>
      <c r="E547" s="40">
        <v>5310</v>
      </c>
    </row>
    <row r="548" spans="1:5" ht="12.75" hidden="1" customHeight="1" x14ac:dyDescent="0.2">
      <c r="A548" s="1">
        <v>499</v>
      </c>
      <c r="B548" s="1" t="s">
        <v>434</v>
      </c>
      <c r="C548" s="1">
        <v>10</v>
      </c>
      <c r="E548" s="40">
        <v>5320</v>
      </c>
    </row>
    <row r="549" spans="1:5" ht="12.75" hidden="1" customHeight="1" x14ac:dyDescent="0.2">
      <c r="A549" s="1">
        <v>500</v>
      </c>
      <c r="B549" s="1" t="s">
        <v>435</v>
      </c>
      <c r="C549" s="1">
        <v>15</v>
      </c>
      <c r="E549" s="40">
        <v>5510</v>
      </c>
    </row>
    <row r="550" spans="1:5" ht="12.75" hidden="1" customHeight="1" x14ac:dyDescent="0.2">
      <c r="A550" s="1">
        <v>502</v>
      </c>
      <c r="B550" s="1" t="s">
        <v>436</v>
      </c>
      <c r="C550" s="1">
        <v>18</v>
      </c>
      <c r="E550" s="40">
        <v>5520</v>
      </c>
    </row>
    <row r="551" spans="1:5" ht="12.75" hidden="1" customHeight="1" x14ac:dyDescent="0.2">
      <c r="A551" s="1">
        <v>503</v>
      </c>
      <c r="B551" s="1" t="s">
        <v>437</v>
      </c>
      <c r="C551" s="1">
        <v>4</v>
      </c>
      <c r="E551" s="40">
        <v>5530</v>
      </c>
    </row>
    <row r="552" spans="1:5" ht="12.75" hidden="1" customHeight="1" x14ac:dyDescent="0.2">
      <c r="A552" s="1">
        <v>504</v>
      </c>
      <c r="B552" s="1" t="s">
        <v>438</v>
      </c>
      <c r="C552" s="1">
        <v>20</v>
      </c>
      <c r="E552" s="40">
        <v>5590</v>
      </c>
    </row>
    <row r="553" spans="1:5" ht="12.75" hidden="1" customHeight="1" x14ac:dyDescent="0.2">
      <c r="A553" s="1">
        <v>505</v>
      </c>
      <c r="B553" s="1" t="s">
        <v>439</v>
      </c>
      <c r="C553" s="1">
        <v>16</v>
      </c>
      <c r="E553" s="40">
        <v>5610</v>
      </c>
    </row>
    <row r="554" spans="1:5" ht="12.75" hidden="1" customHeight="1" x14ac:dyDescent="0.2">
      <c r="A554" s="1">
        <v>506</v>
      </c>
      <c r="B554" s="1" t="s">
        <v>440</v>
      </c>
      <c r="C554" s="1">
        <v>12</v>
      </c>
      <c r="E554" s="40">
        <v>5621</v>
      </c>
    </row>
    <row r="555" spans="1:5" ht="12.75" hidden="1" customHeight="1" x14ac:dyDescent="0.2">
      <c r="A555" s="1">
        <v>507</v>
      </c>
      <c r="B555" s="1" t="s">
        <v>441</v>
      </c>
      <c r="C555" s="1">
        <v>8</v>
      </c>
      <c r="E555" s="40">
        <v>5629</v>
      </c>
    </row>
    <row r="556" spans="1:5" ht="12.75" hidden="1" customHeight="1" x14ac:dyDescent="0.2">
      <c r="A556" s="1">
        <v>508</v>
      </c>
      <c r="B556" s="1" t="s">
        <v>442</v>
      </c>
      <c r="C556" s="1">
        <v>1</v>
      </c>
      <c r="E556" s="40">
        <v>5630</v>
      </c>
    </row>
    <row r="557" spans="1:5" ht="12.75" hidden="1" customHeight="1" x14ac:dyDescent="0.2">
      <c r="A557" s="1">
        <v>509</v>
      </c>
      <c r="B557" s="1" t="s">
        <v>893</v>
      </c>
      <c r="C557" s="1">
        <v>8</v>
      </c>
      <c r="E557" s="40">
        <v>5811</v>
      </c>
    </row>
    <row r="558" spans="1:5" ht="12.75" hidden="1" customHeight="1" x14ac:dyDescent="0.2">
      <c r="A558" s="1">
        <v>510</v>
      </c>
      <c r="B558" s="1" t="s">
        <v>894</v>
      </c>
      <c r="C558" s="1">
        <v>3</v>
      </c>
      <c r="E558" s="40">
        <v>5812</v>
      </c>
    </row>
    <row r="559" spans="1:5" ht="12.75" hidden="1" customHeight="1" x14ac:dyDescent="0.2">
      <c r="A559" s="1">
        <v>511</v>
      </c>
      <c r="B559" s="1" t="s">
        <v>895</v>
      </c>
      <c r="C559" s="1">
        <v>17</v>
      </c>
      <c r="E559" s="40">
        <v>5813</v>
      </c>
    </row>
    <row r="560" spans="1:5" ht="12.75" hidden="1" customHeight="1" x14ac:dyDescent="0.2">
      <c r="A560" s="1">
        <v>512</v>
      </c>
      <c r="B560" s="1" t="s">
        <v>896</v>
      </c>
      <c r="C560" s="1">
        <v>9</v>
      </c>
      <c r="E560" s="40">
        <v>5814</v>
      </c>
    </row>
    <row r="561" spans="1:5" ht="12.75" hidden="1" customHeight="1" x14ac:dyDescent="0.2">
      <c r="A561" s="1">
        <v>513</v>
      </c>
      <c r="B561" s="1" t="s">
        <v>897</v>
      </c>
      <c r="C561" s="1">
        <v>17</v>
      </c>
      <c r="E561" s="40">
        <v>5819</v>
      </c>
    </row>
    <row r="562" spans="1:5" ht="12.75" hidden="1" customHeight="1" x14ac:dyDescent="0.2">
      <c r="A562" s="1">
        <v>514</v>
      </c>
      <c r="B562" s="1" t="s">
        <v>1961</v>
      </c>
      <c r="C562" s="1">
        <v>12</v>
      </c>
      <c r="E562" s="40">
        <v>5821</v>
      </c>
    </row>
    <row r="563" spans="1:5" ht="12.75" hidden="1" customHeight="1" x14ac:dyDescent="0.2">
      <c r="A563" s="1">
        <v>516</v>
      </c>
      <c r="B563" s="1" t="s">
        <v>1962</v>
      </c>
      <c r="C563" s="1">
        <v>18</v>
      </c>
      <c r="E563" s="40">
        <v>5829</v>
      </c>
    </row>
    <row r="564" spans="1:5" ht="12.75" hidden="1" customHeight="1" x14ac:dyDescent="0.2">
      <c r="A564" s="1">
        <v>517</v>
      </c>
      <c r="B564" s="1" t="s">
        <v>1963</v>
      </c>
      <c r="C564" s="1">
        <v>14</v>
      </c>
      <c r="E564" s="40">
        <v>5911</v>
      </c>
    </row>
    <row r="565" spans="1:5" ht="12.75" hidden="1" customHeight="1" x14ac:dyDescent="0.2">
      <c r="A565" s="1">
        <v>518</v>
      </c>
      <c r="B565" s="1" t="s">
        <v>1964</v>
      </c>
      <c r="C565" s="1">
        <v>16</v>
      </c>
      <c r="E565" s="40">
        <v>5912</v>
      </c>
    </row>
    <row r="566" spans="1:5" ht="12.75" hidden="1" customHeight="1" x14ac:dyDescent="0.2">
      <c r="A566" s="1">
        <v>519</v>
      </c>
      <c r="B566" s="1" t="s">
        <v>1965</v>
      </c>
      <c r="C566" s="1">
        <v>2</v>
      </c>
      <c r="E566" s="40">
        <v>5913</v>
      </c>
    </row>
    <row r="567" spans="1:5" ht="12.75" hidden="1" customHeight="1" x14ac:dyDescent="0.2">
      <c r="A567" s="1">
        <v>520</v>
      </c>
      <c r="B567" s="1" t="s">
        <v>1966</v>
      </c>
      <c r="C567" s="1">
        <v>13</v>
      </c>
      <c r="E567" s="40">
        <v>5914</v>
      </c>
    </row>
    <row r="568" spans="1:5" ht="12.75" hidden="1" customHeight="1" x14ac:dyDescent="0.2">
      <c r="A568" s="1">
        <v>521</v>
      </c>
      <c r="B568" s="1" t="s">
        <v>1437</v>
      </c>
      <c r="C568" s="1">
        <v>2</v>
      </c>
      <c r="E568" s="40">
        <v>5920</v>
      </c>
    </row>
    <row r="569" spans="1:5" ht="12.75" hidden="1" customHeight="1" x14ac:dyDescent="0.2">
      <c r="A569" s="1">
        <v>522</v>
      </c>
      <c r="B569" s="1" t="s">
        <v>1438</v>
      </c>
      <c r="C569" s="1">
        <v>17</v>
      </c>
      <c r="E569" s="40">
        <v>6010</v>
      </c>
    </row>
    <row r="570" spans="1:5" ht="12.75" hidden="1" customHeight="1" x14ac:dyDescent="0.2">
      <c r="A570" s="1">
        <v>523</v>
      </c>
      <c r="B570" s="1" t="s">
        <v>1439</v>
      </c>
      <c r="C570" s="1">
        <v>19</v>
      </c>
      <c r="E570" s="40">
        <v>6020</v>
      </c>
    </row>
    <row r="571" spans="1:5" ht="12.75" hidden="1" customHeight="1" x14ac:dyDescent="0.2">
      <c r="A571" s="1">
        <v>524</v>
      </c>
      <c r="B571" s="1" t="s">
        <v>1440</v>
      </c>
      <c r="C571" s="1">
        <v>10</v>
      </c>
      <c r="E571" s="40">
        <v>6110</v>
      </c>
    </row>
    <row r="572" spans="1:5" ht="12.75" hidden="1" customHeight="1" x14ac:dyDescent="0.2">
      <c r="A572" s="1">
        <v>525</v>
      </c>
      <c r="B572" s="1" t="s">
        <v>1441</v>
      </c>
      <c r="C572" s="1">
        <v>13</v>
      </c>
      <c r="E572" s="40">
        <v>6120</v>
      </c>
    </row>
    <row r="573" spans="1:5" ht="12.75" hidden="1" customHeight="1" x14ac:dyDescent="0.2">
      <c r="A573" s="1">
        <v>526</v>
      </c>
      <c r="B573" s="1" t="s">
        <v>1809</v>
      </c>
      <c r="C573" s="1">
        <v>2</v>
      </c>
      <c r="E573" s="40">
        <v>6130</v>
      </c>
    </row>
    <row r="574" spans="1:5" ht="12.75" hidden="1" customHeight="1" x14ac:dyDescent="0.2">
      <c r="A574" s="1">
        <v>527</v>
      </c>
      <c r="B574" s="1" t="s">
        <v>1810</v>
      </c>
      <c r="C574" s="1">
        <v>2</v>
      </c>
      <c r="E574" s="40">
        <v>6190</v>
      </c>
    </row>
    <row r="575" spans="1:5" ht="12.75" hidden="1" customHeight="1" x14ac:dyDescent="0.2">
      <c r="A575" s="1">
        <v>528</v>
      </c>
      <c r="B575" s="1" t="s">
        <v>1811</v>
      </c>
      <c r="C575" s="1">
        <v>17</v>
      </c>
      <c r="E575" s="40">
        <v>6201</v>
      </c>
    </row>
    <row r="576" spans="1:5" ht="12.75" hidden="1" customHeight="1" x14ac:dyDescent="0.2">
      <c r="A576" s="1">
        <v>530</v>
      </c>
      <c r="B576" s="1" t="s">
        <v>1812</v>
      </c>
      <c r="C576" s="1">
        <v>4</v>
      </c>
      <c r="E576" s="40">
        <v>6202</v>
      </c>
    </row>
    <row r="577" spans="1:5" ht="12.75" hidden="1" customHeight="1" x14ac:dyDescent="0.2">
      <c r="A577" s="1">
        <v>531</v>
      </c>
      <c r="B577" s="1" t="s">
        <v>2436</v>
      </c>
      <c r="C577" s="1">
        <v>18</v>
      </c>
      <c r="E577" s="40">
        <v>6203</v>
      </c>
    </row>
    <row r="578" spans="1:5" ht="12.75" hidden="1" customHeight="1" x14ac:dyDescent="0.2">
      <c r="A578" s="1">
        <v>533</v>
      </c>
      <c r="B578" s="1" t="s">
        <v>2437</v>
      </c>
      <c r="C578" s="1">
        <v>1</v>
      </c>
      <c r="E578" s="40">
        <v>6209</v>
      </c>
    </row>
    <row r="579" spans="1:5" ht="12.75" hidden="1" customHeight="1" x14ac:dyDescent="0.2">
      <c r="A579" s="1">
        <v>534</v>
      </c>
      <c r="B579" s="1" t="s">
        <v>1087</v>
      </c>
      <c r="C579" s="1">
        <v>16</v>
      </c>
      <c r="E579" s="40">
        <v>6311</v>
      </c>
    </row>
    <row r="580" spans="1:5" ht="12.75" hidden="1" customHeight="1" x14ac:dyDescent="0.2">
      <c r="A580" s="1">
        <v>535</v>
      </c>
      <c r="B580" s="1" t="s">
        <v>1088</v>
      </c>
      <c r="C580" s="1">
        <v>16</v>
      </c>
      <c r="E580" s="40">
        <v>6312</v>
      </c>
    </row>
    <row r="581" spans="1:5" ht="12.75" hidden="1" customHeight="1" x14ac:dyDescent="0.2">
      <c r="A581" s="1">
        <v>536</v>
      </c>
      <c r="B581" s="1" t="s">
        <v>4169</v>
      </c>
      <c r="C581" s="1">
        <v>1</v>
      </c>
      <c r="E581" s="40">
        <v>6391</v>
      </c>
    </row>
    <row r="582" spans="1:5" ht="12.75" hidden="1" customHeight="1" x14ac:dyDescent="0.2">
      <c r="A582" s="1">
        <v>537</v>
      </c>
      <c r="B582" s="1" t="s">
        <v>2698</v>
      </c>
      <c r="C582" s="1">
        <v>13</v>
      </c>
      <c r="E582" s="40">
        <v>6399</v>
      </c>
    </row>
    <row r="583" spans="1:5" ht="12.75" hidden="1" customHeight="1" x14ac:dyDescent="0.2">
      <c r="A583" s="1">
        <v>538</v>
      </c>
      <c r="B583" s="1" t="s">
        <v>4170</v>
      </c>
      <c r="C583" s="1">
        <v>8</v>
      </c>
      <c r="E583" s="40">
        <v>6411</v>
      </c>
    </row>
    <row r="584" spans="1:5" ht="12.75" hidden="1" customHeight="1" x14ac:dyDescent="0.2">
      <c r="A584" s="1">
        <v>539</v>
      </c>
      <c r="B584" s="1" t="s">
        <v>4171</v>
      </c>
      <c r="C584" s="1">
        <v>1</v>
      </c>
      <c r="E584" s="40">
        <v>6419</v>
      </c>
    </row>
    <row r="585" spans="1:5" ht="12.75" hidden="1" customHeight="1" x14ac:dyDescent="0.2">
      <c r="A585" s="1">
        <v>540</v>
      </c>
      <c r="B585" s="1" t="s">
        <v>4172</v>
      </c>
      <c r="C585" s="1">
        <v>1</v>
      </c>
      <c r="E585" s="40">
        <v>6420</v>
      </c>
    </row>
    <row r="586" spans="1:5" ht="12.75" hidden="1" customHeight="1" x14ac:dyDescent="0.2">
      <c r="A586" s="1">
        <v>541</v>
      </c>
      <c r="B586" s="1" t="s">
        <v>4173</v>
      </c>
      <c r="C586" s="1">
        <v>1</v>
      </c>
      <c r="E586" s="40">
        <v>6430</v>
      </c>
    </row>
    <row r="587" spans="1:5" ht="12.75" hidden="1" customHeight="1" x14ac:dyDescent="0.2">
      <c r="A587" s="1">
        <v>542</v>
      </c>
      <c r="B587" s="1" t="s">
        <v>4174</v>
      </c>
      <c r="C587" s="1">
        <v>1</v>
      </c>
      <c r="E587" s="40">
        <v>6491</v>
      </c>
    </row>
    <row r="588" spans="1:5" ht="12.75" hidden="1" customHeight="1" x14ac:dyDescent="0.2">
      <c r="A588" s="1">
        <v>543</v>
      </c>
      <c r="B588" s="1" t="s">
        <v>4175</v>
      </c>
      <c r="C588" s="1">
        <v>1</v>
      </c>
      <c r="E588" s="40">
        <v>6492</v>
      </c>
    </row>
    <row r="589" spans="1:5" ht="12.75" hidden="1" customHeight="1" x14ac:dyDescent="0.2">
      <c r="A589" s="1">
        <v>544</v>
      </c>
      <c r="B589" s="1" t="s">
        <v>4176</v>
      </c>
      <c r="C589" s="1">
        <v>1</v>
      </c>
      <c r="E589" s="40">
        <v>6499</v>
      </c>
    </row>
    <row r="590" spans="1:5" ht="12.75" hidden="1" customHeight="1" x14ac:dyDescent="0.2">
      <c r="A590" s="1">
        <v>545</v>
      </c>
      <c r="B590" s="1" t="s">
        <v>4177</v>
      </c>
      <c r="C590" s="1">
        <v>1</v>
      </c>
      <c r="E590" s="40">
        <v>6511</v>
      </c>
    </row>
    <row r="591" spans="1:5" ht="12.75" hidden="1" customHeight="1" x14ac:dyDescent="0.2">
      <c r="A591" s="1">
        <v>547</v>
      </c>
      <c r="B591" s="1" t="s">
        <v>4178</v>
      </c>
      <c r="C591" s="1">
        <v>1</v>
      </c>
      <c r="E591" s="40">
        <v>6512</v>
      </c>
    </row>
    <row r="592" spans="1:5" ht="12.75" hidden="1" customHeight="1" x14ac:dyDescent="0.2">
      <c r="A592" s="1">
        <v>548</v>
      </c>
      <c r="B592" s="1" t="s">
        <v>4179</v>
      </c>
      <c r="C592" s="1">
        <v>1</v>
      </c>
      <c r="E592" s="40">
        <v>6520</v>
      </c>
    </row>
    <row r="593" spans="1:5" ht="12.75" hidden="1" customHeight="1" x14ac:dyDescent="0.2">
      <c r="A593" s="1">
        <v>549</v>
      </c>
      <c r="B593" s="1" t="s">
        <v>4180</v>
      </c>
      <c r="C593" s="1">
        <v>1</v>
      </c>
      <c r="E593" s="40">
        <v>6530</v>
      </c>
    </row>
    <row r="594" spans="1:5" ht="12.75" hidden="1" customHeight="1" x14ac:dyDescent="0.2">
      <c r="A594" s="1">
        <v>550</v>
      </c>
      <c r="B594" s="1" t="s">
        <v>4181</v>
      </c>
      <c r="C594" s="1">
        <v>1</v>
      </c>
      <c r="E594" s="40">
        <v>6611</v>
      </c>
    </row>
    <row r="595" spans="1:5" ht="12.75" hidden="1" customHeight="1" x14ac:dyDescent="0.2">
      <c r="A595" s="1">
        <v>551</v>
      </c>
      <c r="B595" s="1" t="s">
        <v>4182</v>
      </c>
      <c r="C595" s="1">
        <v>1</v>
      </c>
      <c r="E595" s="40">
        <v>6612</v>
      </c>
    </row>
    <row r="596" spans="1:5" ht="12.75" hidden="1" customHeight="1" x14ac:dyDescent="0.2">
      <c r="A596" s="1">
        <v>552</v>
      </c>
      <c r="B596" s="1" t="s">
        <v>4183</v>
      </c>
      <c r="C596" s="1">
        <v>2</v>
      </c>
      <c r="E596" s="40">
        <v>6619</v>
      </c>
    </row>
    <row r="597" spans="1:5" ht="12.75" hidden="1" customHeight="1" x14ac:dyDescent="0.2">
      <c r="A597" s="1">
        <v>553</v>
      </c>
      <c r="B597" s="1" t="s">
        <v>4184</v>
      </c>
      <c r="C597" s="1">
        <v>2</v>
      </c>
      <c r="E597" s="40">
        <v>6621</v>
      </c>
    </row>
    <row r="598" spans="1:5" ht="12.75" hidden="1" customHeight="1" x14ac:dyDescent="0.2">
      <c r="A598" s="1">
        <v>554</v>
      </c>
      <c r="B598" s="1" t="s">
        <v>4185</v>
      </c>
      <c r="C598" s="1">
        <v>2</v>
      </c>
      <c r="E598" s="40">
        <v>6622</v>
      </c>
    </row>
    <row r="599" spans="1:5" ht="12.75" hidden="1" customHeight="1" x14ac:dyDescent="0.2">
      <c r="A599" s="1">
        <v>555</v>
      </c>
      <c r="B599" s="1" t="s">
        <v>4186</v>
      </c>
      <c r="C599" s="1">
        <v>3</v>
      </c>
      <c r="E599" s="40">
        <v>6629</v>
      </c>
    </row>
    <row r="600" spans="1:5" ht="12.75" hidden="1" customHeight="1" x14ac:dyDescent="0.2">
      <c r="A600" s="1">
        <v>556</v>
      </c>
      <c r="B600" s="1" t="s">
        <v>4187</v>
      </c>
      <c r="C600" s="1">
        <v>4</v>
      </c>
      <c r="E600" s="40">
        <v>6630</v>
      </c>
    </row>
    <row r="601" spans="1:5" ht="12.75" hidden="1" customHeight="1" x14ac:dyDescent="0.2">
      <c r="A601" s="1">
        <v>557</v>
      </c>
      <c r="B601" s="1" t="s">
        <v>4188</v>
      </c>
      <c r="C601" s="1">
        <v>4</v>
      </c>
      <c r="E601" s="40">
        <v>6810</v>
      </c>
    </row>
    <row r="602" spans="1:5" ht="12.75" hidden="1" customHeight="1" x14ac:dyDescent="0.2">
      <c r="A602" s="1">
        <v>558</v>
      </c>
      <c r="B602" s="1" t="s">
        <v>4189</v>
      </c>
      <c r="C602" s="1">
        <v>5</v>
      </c>
      <c r="E602" s="40">
        <v>6820</v>
      </c>
    </row>
    <row r="603" spans="1:5" ht="12.75" hidden="1" customHeight="1" x14ac:dyDescent="0.2">
      <c r="A603" s="1">
        <v>559</v>
      </c>
      <c r="B603" s="1" t="s">
        <v>4190</v>
      </c>
      <c r="C603" s="1">
        <v>6</v>
      </c>
      <c r="E603" s="40">
        <v>6831</v>
      </c>
    </row>
    <row r="604" spans="1:5" ht="12.75" hidden="1" customHeight="1" x14ac:dyDescent="0.2">
      <c r="A604" s="1">
        <v>560</v>
      </c>
      <c r="B604" s="1" t="s">
        <v>4191</v>
      </c>
      <c r="C604" s="1">
        <v>6</v>
      </c>
      <c r="E604" s="40">
        <v>6832</v>
      </c>
    </row>
    <row r="605" spans="1:5" ht="12.75" hidden="1" customHeight="1" x14ac:dyDescent="0.2">
      <c r="A605" s="1">
        <v>561</v>
      </c>
      <c r="B605" s="1" t="s">
        <v>4192</v>
      </c>
      <c r="C605" s="1">
        <v>6</v>
      </c>
      <c r="E605" s="40">
        <v>6910</v>
      </c>
    </row>
    <row r="606" spans="1:5" ht="12.75" hidden="1" customHeight="1" x14ac:dyDescent="0.2">
      <c r="A606" s="1">
        <v>562</v>
      </c>
      <c r="B606" s="1" t="s">
        <v>4193</v>
      </c>
      <c r="C606" s="1">
        <v>7</v>
      </c>
      <c r="E606" s="40">
        <v>6920</v>
      </c>
    </row>
    <row r="607" spans="1:5" ht="12.75" hidden="1" customHeight="1" x14ac:dyDescent="0.2">
      <c r="A607" s="1">
        <v>564</v>
      </c>
      <c r="B607" s="1" t="s">
        <v>4194</v>
      </c>
      <c r="C607" s="1">
        <v>7</v>
      </c>
      <c r="E607" s="40">
        <v>7010</v>
      </c>
    </row>
    <row r="608" spans="1:5" ht="12.75" hidden="1" customHeight="1" x14ac:dyDescent="0.2">
      <c r="A608" s="1">
        <v>565</v>
      </c>
      <c r="B608" s="1" t="s">
        <v>3663</v>
      </c>
      <c r="C608" s="1">
        <v>7</v>
      </c>
      <c r="E608" s="40">
        <v>7021</v>
      </c>
    </row>
    <row r="609" spans="1:5" ht="12.75" hidden="1" customHeight="1" x14ac:dyDescent="0.2">
      <c r="A609" s="1">
        <v>566</v>
      </c>
      <c r="B609" s="1" t="s">
        <v>3129</v>
      </c>
      <c r="C609" s="1">
        <v>7</v>
      </c>
      <c r="E609" s="40">
        <v>7022</v>
      </c>
    </row>
    <row r="610" spans="1:5" ht="12.75" hidden="1" customHeight="1" x14ac:dyDescent="0.2">
      <c r="A610" s="1">
        <v>567</v>
      </c>
      <c r="B610" s="1" t="s">
        <v>3130</v>
      </c>
      <c r="C610" s="1">
        <v>12</v>
      </c>
      <c r="E610" s="40">
        <v>7111</v>
      </c>
    </row>
    <row r="611" spans="1:5" ht="12.75" hidden="1" customHeight="1" x14ac:dyDescent="0.2">
      <c r="A611" s="1">
        <v>568</v>
      </c>
      <c r="B611" s="1" t="s">
        <v>3131</v>
      </c>
      <c r="C611" s="1">
        <v>12</v>
      </c>
      <c r="E611" s="40">
        <v>7112</v>
      </c>
    </row>
    <row r="612" spans="1:5" ht="12.75" hidden="1" customHeight="1" x14ac:dyDescent="0.2">
      <c r="A612" s="1">
        <v>569</v>
      </c>
      <c r="B612" s="1" t="s">
        <v>3132</v>
      </c>
      <c r="C612" s="1">
        <v>12</v>
      </c>
      <c r="E612" s="40">
        <v>7120</v>
      </c>
    </row>
    <row r="613" spans="1:5" ht="12.75" hidden="1" customHeight="1" x14ac:dyDescent="0.2">
      <c r="A613" s="1">
        <v>570</v>
      </c>
      <c r="B613" s="1" t="s">
        <v>3133</v>
      </c>
      <c r="C613" s="1">
        <v>12</v>
      </c>
      <c r="E613" s="40">
        <v>7211</v>
      </c>
    </row>
    <row r="614" spans="1:5" ht="12.75" hidden="1" customHeight="1" x14ac:dyDescent="0.2">
      <c r="A614" s="1">
        <v>571</v>
      </c>
      <c r="B614" s="1" t="s">
        <v>3134</v>
      </c>
      <c r="C614" s="1">
        <v>13</v>
      </c>
      <c r="E614" s="40">
        <v>7219</v>
      </c>
    </row>
    <row r="615" spans="1:5" ht="12.75" hidden="1" customHeight="1" x14ac:dyDescent="0.2">
      <c r="A615" s="1">
        <v>572</v>
      </c>
      <c r="B615" s="1" t="s">
        <v>3135</v>
      </c>
      <c r="C615" s="1">
        <v>13</v>
      </c>
      <c r="E615" s="40">
        <v>7220</v>
      </c>
    </row>
    <row r="616" spans="1:5" ht="12.75" hidden="1" customHeight="1" x14ac:dyDescent="0.2">
      <c r="A616" s="1">
        <v>573</v>
      </c>
      <c r="B616" s="1" t="s">
        <v>3136</v>
      </c>
      <c r="C616" s="1">
        <v>13</v>
      </c>
      <c r="E616" s="40">
        <v>7311</v>
      </c>
    </row>
    <row r="617" spans="1:5" ht="12.75" hidden="1" customHeight="1" x14ac:dyDescent="0.2">
      <c r="A617" s="1">
        <v>574</v>
      </c>
      <c r="B617" s="1" t="s">
        <v>3137</v>
      </c>
      <c r="C617" s="1">
        <v>13</v>
      </c>
      <c r="E617" s="40">
        <v>7312</v>
      </c>
    </row>
    <row r="618" spans="1:5" ht="12.75" hidden="1" customHeight="1" x14ac:dyDescent="0.2">
      <c r="A618" s="1">
        <v>575</v>
      </c>
      <c r="B618" s="1" t="s">
        <v>3138</v>
      </c>
      <c r="C618" s="1">
        <v>13</v>
      </c>
      <c r="E618" s="40">
        <v>7320</v>
      </c>
    </row>
    <row r="619" spans="1:5" ht="12.75" hidden="1" customHeight="1" x14ac:dyDescent="0.2">
      <c r="A619" s="1">
        <v>576</v>
      </c>
      <c r="B619" s="1" t="s">
        <v>3139</v>
      </c>
      <c r="C619" s="1">
        <v>14</v>
      </c>
      <c r="E619" s="40">
        <v>7410</v>
      </c>
    </row>
    <row r="620" spans="1:5" ht="12.75" hidden="1" customHeight="1" x14ac:dyDescent="0.2">
      <c r="A620" s="1">
        <v>578</v>
      </c>
      <c r="B620" s="1" t="s">
        <v>3140</v>
      </c>
      <c r="C620" s="1">
        <v>14</v>
      </c>
      <c r="E620" s="40">
        <v>7420</v>
      </c>
    </row>
    <row r="621" spans="1:5" ht="12.75" hidden="1" customHeight="1" x14ac:dyDescent="0.2">
      <c r="A621" s="1">
        <v>579</v>
      </c>
      <c r="B621" s="1" t="s">
        <v>3141</v>
      </c>
      <c r="C621" s="1">
        <v>14</v>
      </c>
      <c r="E621" s="40">
        <v>7430</v>
      </c>
    </row>
    <row r="622" spans="1:5" ht="12.75" hidden="1" customHeight="1" x14ac:dyDescent="0.2">
      <c r="A622" s="1">
        <v>581</v>
      </c>
      <c r="B622" s="1" t="s">
        <v>3142</v>
      </c>
      <c r="C622" s="1">
        <v>15</v>
      </c>
      <c r="E622" s="40">
        <v>7490</v>
      </c>
    </row>
    <row r="623" spans="1:5" ht="12.75" hidden="1" customHeight="1" x14ac:dyDescent="0.2">
      <c r="A623" s="1">
        <v>582</v>
      </c>
      <c r="B623" s="1" t="s">
        <v>3143</v>
      </c>
      <c r="C623" s="1">
        <v>15</v>
      </c>
      <c r="E623" s="40">
        <v>7500</v>
      </c>
    </row>
    <row r="624" spans="1:5" ht="12.75" hidden="1" customHeight="1" x14ac:dyDescent="0.2">
      <c r="A624" s="1">
        <v>583</v>
      </c>
      <c r="B624" s="1" t="s">
        <v>3137</v>
      </c>
      <c r="C624" s="1">
        <v>16</v>
      </c>
      <c r="E624" s="40">
        <v>7711</v>
      </c>
    </row>
    <row r="625" spans="1:5" ht="12.75" hidden="1" customHeight="1" x14ac:dyDescent="0.2">
      <c r="A625" s="1">
        <v>584</v>
      </c>
      <c r="B625" s="1" t="s">
        <v>3144</v>
      </c>
      <c r="C625" s="1">
        <v>16</v>
      </c>
      <c r="E625" s="40">
        <v>7712</v>
      </c>
    </row>
    <row r="626" spans="1:5" ht="12.75" hidden="1" customHeight="1" x14ac:dyDescent="0.2">
      <c r="A626" s="1">
        <v>585</v>
      </c>
      <c r="B626" s="1" t="s">
        <v>3145</v>
      </c>
      <c r="C626" s="1">
        <v>17</v>
      </c>
      <c r="E626" s="40">
        <v>7721</v>
      </c>
    </row>
    <row r="627" spans="1:5" ht="12.75" hidden="1" customHeight="1" x14ac:dyDescent="0.2">
      <c r="A627" s="1">
        <v>586</v>
      </c>
      <c r="B627" s="1" t="s">
        <v>3146</v>
      </c>
      <c r="C627" s="1">
        <v>17</v>
      </c>
      <c r="E627" s="40">
        <v>7722</v>
      </c>
    </row>
    <row r="628" spans="1:5" ht="12.75" hidden="1" customHeight="1" x14ac:dyDescent="0.2">
      <c r="A628" s="1">
        <v>587</v>
      </c>
      <c r="B628" s="1" t="s">
        <v>3147</v>
      </c>
      <c r="C628" s="1">
        <v>17</v>
      </c>
      <c r="E628" s="40">
        <v>7729</v>
      </c>
    </row>
    <row r="629" spans="1:5" ht="12.75" hidden="1" customHeight="1" x14ac:dyDescent="0.2">
      <c r="A629" s="1">
        <v>588</v>
      </c>
      <c r="B629" s="1" t="s">
        <v>3148</v>
      </c>
      <c r="C629" s="1">
        <v>17</v>
      </c>
      <c r="E629" s="40">
        <v>7731</v>
      </c>
    </row>
    <row r="630" spans="1:5" ht="12.75" hidden="1" customHeight="1" x14ac:dyDescent="0.2">
      <c r="A630" s="1">
        <v>589</v>
      </c>
      <c r="B630" s="1" t="s">
        <v>3149</v>
      </c>
      <c r="C630" s="1">
        <v>17</v>
      </c>
      <c r="E630" s="40">
        <v>7732</v>
      </c>
    </row>
    <row r="631" spans="1:5" ht="12.75" hidden="1" customHeight="1" x14ac:dyDescent="0.2">
      <c r="A631" s="1">
        <v>590</v>
      </c>
      <c r="B631" s="1" t="s">
        <v>3150</v>
      </c>
      <c r="C631" s="1">
        <v>17</v>
      </c>
      <c r="E631" s="40">
        <v>7733</v>
      </c>
    </row>
    <row r="632" spans="1:5" ht="12.75" hidden="1" customHeight="1" x14ac:dyDescent="0.2">
      <c r="A632" s="1">
        <v>591</v>
      </c>
      <c r="B632" s="1" t="s">
        <v>3151</v>
      </c>
      <c r="C632" s="1">
        <v>17</v>
      </c>
      <c r="E632" s="40">
        <v>7734</v>
      </c>
    </row>
    <row r="633" spans="1:5" ht="12.75" hidden="1" customHeight="1" x14ac:dyDescent="0.2">
      <c r="A633" s="1">
        <v>592</v>
      </c>
      <c r="B633" s="1" t="s">
        <v>3152</v>
      </c>
      <c r="C633" s="1">
        <v>17</v>
      </c>
      <c r="E633" s="40">
        <v>7735</v>
      </c>
    </row>
    <row r="634" spans="1:5" ht="12.75" hidden="1" customHeight="1" x14ac:dyDescent="0.2">
      <c r="A634" s="1">
        <v>593</v>
      </c>
      <c r="B634" s="1" t="s">
        <v>3153</v>
      </c>
      <c r="C634" s="1">
        <v>17</v>
      </c>
      <c r="E634" s="40">
        <v>7739</v>
      </c>
    </row>
    <row r="635" spans="1:5" ht="12.75" hidden="1" customHeight="1" x14ac:dyDescent="0.2">
      <c r="A635" s="1">
        <v>595</v>
      </c>
      <c r="B635" s="1" t="s">
        <v>3154</v>
      </c>
      <c r="C635" s="1">
        <v>17</v>
      </c>
      <c r="E635" s="40">
        <v>7740</v>
      </c>
    </row>
    <row r="636" spans="1:5" ht="12.75" hidden="1" customHeight="1" x14ac:dyDescent="0.2">
      <c r="A636" s="1">
        <v>596</v>
      </c>
      <c r="B636" s="1" t="s">
        <v>3155</v>
      </c>
      <c r="C636" s="1">
        <v>18</v>
      </c>
      <c r="E636" s="40">
        <v>7810</v>
      </c>
    </row>
    <row r="637" spans="1:5" ht="12.75" hidden="1" customHeight="1" x14ac:dyDescent="0.2">
      <c r="A637" s="1">
        <v>597</v>
      </c>
      <c r="B637" s="1" t="s">
        <v>3156</v>
      </c>
      <c r="C637" s="1">
        <v>18</v>
      </c>
      <c r="E637" s="40">
        <v>7820</v>
      </c>
    </row>
    <row r="638" spans="1:5" ht="12.75" hidden="1" customHeight="1" x14ac:dyDescent="0.2">
      <c r="A638" s="1">
        <v>598</v>
      </c>
      <c r="B638" s="1" t="s">
        <v>3157</v>
      </c>
      <c r="C638" s="1">
        <v>19</v>
      </c>
      <c r="E638" s="40">
        <v>7830</v>
      </c>
    </row>
    <row r="639" spans="1:5" ht="12.75" hidden="1" customHeight="1" x14ac:dyDescent="0.2">
      <c r="A639" s="1">
        <v>599</v>
      </c>
      <c r="B639" s="1" t="s">
        <v>3158</v>
      </c>
      <c r="C639" s="1">
        <v>19</v>
      </c>
      <c r="E639" s="40">
        <v>7911</v>
      </c>
    </row>
    <row r="640" spans="1:5" ht="12.75" hidden="1" customHeight="1" x14ac:dyDescent="0.2">
      <c r="A640" s="1">
        <v>600</v>
      </c>
      <c r="B640" s="1" t="s">
        <v>3159</v>
      </c>
      <c r="C640" s="1">
        <v>19</v>
      </c>
      <c r="E640" s="40">
        <v>7912</v>
      </c>
    </row>
    <row r="641" spans="1:5" ht="12.75" hidden="1" customHeight="1" x14ac:dyDescent="0.2">
      <c r="A641" s="1">
        <v>601</v>
      </c>
      <c r="B641" s="1" t="s">
        <v>3160</v>
      </c>
      <c r="C641" s="1">
        <v>19</v>
      </c>
      <c r="E641" s="40">
        <v>7990</v>
      </c>
    </row>
    <row r="642" spans="1:5" ht="12.75" hidden="1" customHeight="1" x14ac:dyDescent="0.2">
      <c r="A642" s="1">
        <v>602</v>
      </c>
      <c r="B642" s="1" t="s">
        <v>3161</v>
      </c>
      <c r="C642" s="1">
        <v>19</v>
      </c>
      <c r="E642" s="40">
        <v>8010</v>
      </c>
    </row>
    <row r="643" spans="1:5" ht="12.75" hidden="1" customHeight="1" x14ac:dyDescent="0.2">
      <c r="A643" s="1">
        <v>603</v>
      </c>
      <c r="B643" s="1" t="s">
        <v>3162</v>
      </c>
      <c r="C643" s="1">
        <v>20</v>
      </c>
      <c r="E643" s="40">
        <v>8020</v>
      </c>
    </row>
    <row r="644" spans="1:5" ht="12.75" hidden="1" customHeight="1" x14ac:dyDescent="0.2">
      <c r="A644" s="1">
        <v>604</v>
      </c>
      <c r="B644" s="1" t="s">
        <v>4157</v>
      </c>
      <c r="C644" s="1">
        <v>20</v>
      </c>
      <c r="E644" s="40">
        <v>8030</v>
      </c>
    </row>
    <row r="645" spans="1:5" ht="12.75" hidden="1" customHeight="1" x14ac:dyDescent="0.2">
      <c r="A645" s="1">
        <v>605</v>
      </c>
      <c r="B645" s="1" t="s">
        <v>4158</v>
      </c>
      <c r="C645" s="1">
        <v>20</v>
      </c>
      <c r="E645" s="40">
        <v>8110</v>
      </c>
    </row>
    <row r="646" spans="1:5" ht="12.75" hidden="1" customHeight="1" x14ac:dyDescent="0.2">
      <c r="A646" s="1">
        <v>606</v>
      </c>
      <c r="B646" s="1" t="s">
        <v>4159</v>
      </c>
      <c r="C646" s="1">
        <v>20</v>
      </c>
      <c r="E646" s="40">
        <v>8121</v>
      </c>
    </row>
    <row r="647" spans="1:5" ht="12.75" hidden="1" customHeight="1" x14ac:dyDescent="0.2">
      <c r="A647" s="1">
        <v>607</v>
      </c>
      <c r="B647" s="1" t="s">
        <v>4160</v>
      </c>
      <c r="C647" s="1">
        <v>20</v>
      </c>
      <c r="E647" s="40">
        <v>8122</v>
      </c>
    </row>
    <row r="648" spans="1:5" ht="12.75" hidden="1" customHeight="1" x14ac:dyDescent="0.2">
      <c r="A648" s="1">
        <v>608</v>
      </c>
      <c r="B648" s="1" t="s">
        <v>4161</v>
      </c>
      <c r="C648" s="1">
        <v>20</v>
      </c>
      <c r="E648" s="40">
        <v>8129</v>
      </c>
    </row>
    <row r="649" spans="1:5" ht="12.75" hidden="1" customHeight="1" x14ac:dyDescent="0.2">
      <c r="A649" s="1">
        <v>609</v>
      </c>
      <c r="B649" s="1" t="s">
        <v>4162</v>
      </c>
      <c r="C649" s="1">
        <v>14</v>
      </c>
      <c r="E649" s="40">
        <v>8130</v>
      </c>
    </row>
    <row r="650" spans="1:5" ht="12.75" hidden="1" customHeight="1" x14ac:dyDescent="0.2">
      <c r="A650" s="1">
        <v>610</v>
      </c>
      <c r="B650" s="1" t="s">
        <v>3694</v>
      </c>
      <c r="C650" s="1">
        <v>16</v>
      </c>
      <c r="E650" s="40">
        <v>8211</v>
      </c>
    </row>
    <row r="651" spans="1:5" ht="12.75" hidden="1" customHeight="1" x14ac:dyDescent="0.2">
      <c r="A651" s="1">
        <v>612</v>
      </c>
      <c r="B651" s="1" t="s">
        <v>3695</v>
      </c>
      <c r="C651" s="1">
        <v>16</v>
      </c>
      <c r="E651" s="40">
        <v>8219</v>
      </c>
    </row>
    <row r="652" spans="1:5" ht="12.75" hidden="1" customHeight="1" x14ac:dyDescent="0.2">
      <c r="A652" s="1">
        <v>614</v>
      </c>
      <c r="B652" s="1" t="s">
        <v>3696</v>
      </c>
      <c r="C652" s="1">
        <v>14</v>
      </c>
      <c r="E652" s="40">
        <v>8220</v>
      </c>
    </row>
    <row r="653" spans="1:5" ht="12.75" hidden="1" customHeight="1" x14ac:dyDescent="0.2">
      <c r="A653" s="1">
        <v>616</v>
      </c>
      <c r="B653" s="1" t="s">
        <v>3697</v>
      </c>
      <c r="C653" s="1">
        <v>6</v>
      </c>
      <c r="E653" s="40">
        <v>8230</v>
      </c>
    </row>
    <row r="654" spans="1:5" ht="12.75" hidden="1" customHeight="1" x14ac:dyDescent="0.2">
      <c r="A654" s="1">
        <v>617</v>
      </c>
      <c r="B654" s="1" t="s">
        <v>3698</v>
      </c>
      <c r="C654" s="1">
        <v>15</v>
      </c>
      <c r="E654" s="40">
        <v>8291</v>
      </c>
    </row>
    <row r="655" spans="1:5" ht="12.75" hidden="1" customHeight="1" x14ac:dyDescent="0.2">
      <c r="A655" s="1">
        <v>618</v>
      </c>
      <c r="B655" s="1" t="s">
        <v>3699</v>
      </c>
      <c r="C655" s="1">
        <v>6</v>
      </c>
      <c r="E655" s="40">
        <v>8292</v>
      </c>
    </row>
    <row r="656" spans="1:5" ht="12.75" hidden="1" customHeight="1" x14ac:dyDescent="0.2">
      <c r="A656" s="1">
        <v>619</v>
      </c>
      <c r="B656" s="1" t="s">
        <v>3700</v>
      </c>
      <c r="C656" s="1">
        <v>18</v>
      </c>
      <c r="E656" s="40">
        <v>8299</v>
      </c>
    </row>
    <row r="657" spans="1:5" ht="12.75" hidden="1" customHeight="1" x14ac:dyDescent="0.2">
      <c r="A657" s="1">
        <v>620</v>
      </c>
      <c r="B657" s="1" t="s">
        <v>2190</v>
      </c>
      <c r="C657" s="1">
        <v>20</v>
      </c>
      <c r="E657" s="40">
        <v>8411</v>
      </c>
    </row>
    <row r="658" spans="1:5" ht="12.75" hidden="1" customHeight="1" x14ac:dyDescent="0.2">
      <c r="A658" s="1">
        <v>621</v>
      </c>
      <c r="B658" s="1" t="s">
        <v>2191</v>
      </c>
      <c r="C658" s="1">
        <v>15</v>
      </c>
      <c r="E658" s="40">
        <v>8412</v>
      </c>
    </row>
    <row r="659" spans="1:5" ht="12.75" hidden="1" customHeight="1" x14ac:dyDescent="0.2">
      <c r="A659" s="1">
        <v>622</v>
      </c>
      <c r="B659" s="1" t="s">
        <v>2192</v>
      </c>
      <c r="C659" s="1">
        <v>13</v>
      </c>
      <c r="E659" s="40">
        <v>8413</v>
      </c>
    </row>
    <row r="660" spans="1:5" ht="12.75" hidden="1" customHeight="1" x14ac:dyDescent="0.2">
      <c r="A660" s="1">
        <v>623</v>
      </c>
      <c r="B660" s="1" t="s">
        <v>2193</v>
      </c>
      <c r="C660" s="1">
        <v>4</v>
      </c>
      <c r="E660" s="40">
        <v>8421</v>
      </c>
    </row>
    <row r="661" spans="1:5" ht="12.75" hidden="1" customHeight="1" x14ac:dyDescent="0.2">
      <c r="A661" s="1">
        <v>624</v>
      </c>
      <c r="B661" s="1" t="s">
        <v>2194</v>
      </c>
      <c r="C661" s="1">
        <v>8</v>
      </c>
      <c r="E661" s="40">
        <v>8422</v>
      </c>
    </row>
    <row r="662" spans="1:5" ht="12.75" hidden="1" customHeight="1" x14ac:dyDescent="0.2">
      <c r="A662" s="1">
        <v>625</v>
      </c>
      <c r="B662" s="1" t="s">
        <v>2195</v>
      </c>
      <c r="C662" s="1">
        <v>13</v>
      </c>
      <c r="E662" s="40">
        <v>8423</v>
      </c>
    </row>
    <row r="663" spans="1:5" ht="12.75" hidden="1" customHeight="1" x14ac:dyDescent="0.2">
      <c r="A663" s="1">
        <v>626</v>
      </c>
      <c r="B663" s="1" t="s">
        <v>2196</v>
      </c>
      <c r="C663" s="1">
        <v>15</v>
      </c>
      <c r="E663" s="40">
        <v>8424</v>
      </c>
    </row>
    <row r="664" spans="1:5" ht="12.75" hidden="1" customHeight="1" x14ac:dyDescent="0.2">
      <c r="A664" s="1">
        <v>628</v>
      </c>
      <c r="B664" s="1" t="s">
        <v>2197</v>
      </c>
      <c r="C664" s="1">
        <v>16</v>
      </c>
      <c r="E664" s="40">
        <v>8425</v>
      </c>
    </row>
    <row r="665" spans="1:5" ht="12.75" hidden="1" customHeight="1" x14ac:dyDescent="0.2">
      <c r="A665" s="1">
        <v>629</v>
      </c>
      <c r="B665" s="1" t="s">
        <v>2198</v>
      </c>
      <c r="C665" s="1">
        <v>18</v>
      </c>
      <c r="E665" s="40">
        <v>8430</v>
      </c>
    </row>
    <row r="666" spans="1:5" ht="12.75" hidden="1" customHeight="1" x14ac:dyDescent="0.2">
      <c r="A666" s="1">
        <v>631</v>
      </c>
      <c r="B666" s="1" t="s">
        <v>2199</v>
      </c>
      <c r="C666" s="1">
        <v>18</v>
      </c>
      <c r="E666" s="40">
        <v>8510</v>
      </c>
    </row>
    <row r="667" spans="1:5" ht="12.75" hidden="1" customHeight="1" x14ac:dyDescent="0.2">
      <c r="A667" s="1">
        <v>710</v>
      </c>
      <c r="B667" s="1" t="s">
        <v>2612</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3225</v>
      </c>
      <c r="E670" s="40">
        <v>8541</v>
      </c>
    </row>
    <row r="671" spans="1:5" ht="12.75" hidden="1" customHeight="1" x14ac:dyDescent="0.2">
      <c r="A671" s="1">
        <v>10</v>
      </c>
      <c r="B671" s="1" t="s">
        <v>1518</v>
      </c>
      <c r="E671" s="40">
        <v>8542</v>
      </c>
    </row>
    <row r="672" spans="1:5" ht="12.75" hidden="1" customHeight="1" x14ac:dyDescent="0.2">
      <c r="A672" s="1">
        <v>11</v>
      </c>
      <c r="B672" s="1" t="s">
        <v>3424</v>
      </c>
      <c r="E672" s="40">
        <v>8551</v>
      </c>
    </row>
    <row r="673" spans="1:5" ht="12.75" hidden="1" customHeight="1" x14ac:dyDescent="0.2">
      <c r="A673" s="1">
        <v>12</v>
      </c>
      <c r="B673" s="1" t="s">
        <v>3912</v>
      </c>
      <c r="E673" s="40">
        <v>8552</v>
      </c>
    </row>
    <row r="674" spans="1:5" ht="12.75" hidden="1" customHeight="1" x14ac:dyDescent="0.2">
      <c r="A674" s="1">
        <v>13</v>
      </c>
      <c r="B674" s="1" t="s">
        <v>935</v>
      </c>
      <c r="E674" s="40">
        <v>8553</v>
      </c>
    </row>
    <row r="675" spans="1:5" ht="12.75" hidden="1" customHeight="1" x14ac:dyDescent="0.2">
      <c r="A675" s="1">
        <v>15</v>
      </c>
      <c r="B675" s="1" t="s">
        <v>162</v>
      </c>
      <c r="E675" s="40">
        <v>8559</v>
      </c>
    </row>
    <row r="676" spans="1:5" ht="12.75" hidden="1" customHeight="1" x14ac:dyDescent="0.2">
      <c r="A676" s="1">
        <v>17</v>
      </c>
      <c r="B676" s="1" t="s">
        <v>123</v>
      </c>
      <c r="E676" s="40">
        <v>8560</v>
      </c>
    </row>
    <row r="677" spans="1:5" ht="12.75" hidden="1" customHeight="1" x14ac:dyDescent="0.2">
      <c r="A677" s="1">
        <v>18</v>
      </c>
      <c r="B677" s="1" t="s">
        <v>1217</v>
      </c>
      <c r="E677" s="40">
        <v>8610</v>
      </c>
    </row>
    <row r="678" spans="1:5" ht="12.75" hidden="1" customHeight="1" x14ac:dyDescent="0.2">
      <c r="A678" s="1">
        <v>20</v>
      </c>
      <c r="B678" s="1" t="s">
        <v>124</v>
      </c>
      <c r="E678" s="40">
        <v>8621</v>
      </c>
    </row>
    <row r="679" spans="1:5" ht="12.75" hidden="1" customHeight="1" x14ac:dyDescent="0.2">
      <c r="A679" s="1">
        <v>25</v>
      </c>
      <c r="B679" s="1" t="s">
        <v>125</v>
      </c>
      <c r="E679" s="40">
        <v>8622</v>
      </c>
    </row>
    <row r="680" spans="1:5" ht="12.75" hidden="1" customHeight="1" x14ac:dyDescent="0.2">
      <c r="A680" s="1">
        <v>27</v>
      </c>
      <c r="B680" s="1" t="s">
        <v>2430</v>
      </c>
      <c r="E680" s="40">
        <v>8623</v>
      </c>
    </row>
    <row r="681" spans="1:5" ht="12.75" hidden="1" customHeight="1" x14ac:dyDescent="0.2">
      <c r="A681" s="1">
        <v>28</v>
      </c>
      <c r="B681" s="1" t="s">
        <v>936</v>
      </c>
      <c r="E681" s="40">
        <v>8690</v>
      </c>
    </row>
    <row r="682" spans="1:5" ht="12.75" hidden="1" customHeight="1" x14ac:dyDescent="0.2">
      <c r="A682" s="1">
        <v>30</v>
      </c>
      <c r="B682" s="1" t="s">
        <v>1218</v>
      </c>
      <c r="E682" s="40">
        <v>8710</v>
      </c>
    </row>
    <row r="683" spans="1:5" ht="12.75" hidden="1" customHeight="1" x14ac:dyDescent="0.2">
      <c r="A683" s="1">
        <v>32</v>
      </c>
      <c r="B683" s="1" t="s">
        <v>937</v>
      </c>
      <c r="E683" s="40">
        <v>8720</v>
      </c>
    </row>
    <row r="684" spans="1:5" ht="12.75" hidden="1" customHeight="1" x14ac:dyDescent="0.2">
      <c r="A684" s="1">
        <v>33</v>
      </c>
      <c r="B684" s="1" t="s">
        <v>826</v>
      </c>
      <c r="E684" s="40">
        <v>8730</v>
      </c>
    </row>
    <row r="685" spans="1:5" ht="12.75" hidden="1" customHeight="1" x14ac:dyDescent="0.2">
      <c r="A685" s="1">
        <v>34</v>
      </c>
      <c r="B685" s="1" t="s">
        <v>1986</v>
      </c>
      <c r="E685" s="40">
        <v>8790</v>
      </c>
    </row>
    <row r="686" spans="1:5" ht="12.75" hidden="1" customHeight="1" x14ac:dyDescent="0.2">
      <c r="A686" s="1">
        <v>37</v>
      </c>
      <c r="B686" s="1" t="s">
        <v>827</v>
      </c>
      <c r="E686" s="40">
        <v>8810</v>
      </c>
    </row>
    <row r="687" spans="1:5" ht="12.75" hidden="1" customHeight="1" x14ac:dyDescent="0.2">
      <c r="A687" s="1">
        <v>39</v>
      </c>
      <c r="B687" s="1" t="s">
        <v>3098</v>
      </c>
      <c r="E687" s="40">
        <v>8891</v>
      </c>
    </row>
    <row r="688" spans="1:5" ht="12.75" hidden="1" customHeight="1" x14ac:dyDescent="0.2">
      <c r="A688" s="1">
        <v>40</v>
      </c>
      <c r="B688" s="1" t="s">
        <v>2904</v>
      </c>
      <c r="E688" s="40">
        <v>8899</v>
      </c>
    </row>
    <row r="689" spans="1:5" ht="12.75" hidden="1" customHeight="1" x14ac:dyDescent="0.2">
      <c r="A689" s="1">
        <v>41</v>
      </c>
      <c r="B689" s="1" t="s">
        <v>1987</v>
      </c>
      <c r="E689" s="40">
        <v>9001</v>
      </c>
    </row>
    <row r="690" spans="1:5" ht="12.75" hidden="1" customHeight="1" x14ac:dyDescent="0.2">
      <c r="A690" s="1">
        <v>48</v>
      </c>
      <c r="B690" s="1" t="s">
        <v>174</v>
      </c>
      <c r="E690" s="40">
        <v>9002</v>
      </c>
    </row>
    <row r="691" spans="1:5" ht="12.75" hidden="1" customHeight="1" x14ac:dyDescent="0.2">
      <c r="A691" s="1">
        <v>49</v>
      </c>
      <c r="B691" s="1" t="s">
        <v>1988</v>
      </c>
      <c r="E691" s="40">
        <v>9003</v>
      </c>
    </row>
    <row r="692" spans="1:5" ht="12.75" hidden="1" customHeight="1" x14ac:dyDescent="0.2">
      <c r="A692" s="1">
        <v>52</v>
      </c>
      <c r="B692" s="1" t="s">
        <v>3913</v>
      </c>
      <c r="E692" s="40">
        <v>9004</v>
      </c>
    </row>
    <row r="693" spans="1:5" ht="12.75" hidden="1" customHeight="1" x14ac:dyDescent="0.2">
      <c r="A693" s="1">
        <v>54</v>
      </c>
      <c r="B693" s="1" t="s">
        <v>1989</v>
      </c>
      <c r="E693" s="40">
        <v>9101</v>
      </c>
    </row>
    <row r="694" spans="1:5" ht="12.75" hidden="1" customHeight="1" x14ac:dyDescent="0.2">
      <c r="A694" s="1">
        <v>55</v>
      </c>
      <c r="B694" s="1" t="s">
        <v>828</v>
      </c>
      <c r="E694" s="40">
        <v>9102</v>
      </c>
    </row>
    <row r="695" spans="1:5" ht="12.75" hidden="1" customHeight="1" x14ac:dyDescent="0.2">
      <c r="A695" s="1">
        <v>60</v>
      </c>
      <c r="B695" s="1" t="s">
        <v>639</v>
      </c>
      <c r="E695" s="40">
        <v>9103</v>
      </c>
    </row>
    <row r="696" spans="1:5" ht="12.75" hidden="1" customHeight="1" x14ac:dyDescent="0.2">
      <c r="A696" s="1">
        <v>61</v>
      </c>
      <c r="B696" s="1" t="s">
        <v>640</v>
      </c>
      <c r="E696" s="40">
        <v>9104</v>
      </c>
    </row>
    <row r="697" spans="1:5" ht="12.75" hidden="1" customHeight="1" x14ac:dyDescent="0.2">
      <c r="A697" s="1">
        <v>65</v>
      </c>
      <c r="B697" s="1" t="s">
        <v>1990</v>
      </c>
      <c r="E697" s="40">
        <v>9200</v>
      </c>
    </row>
    <row r="698" spans="1:5" ht="12.75" hidden="1" customHeight="1" x14ac:dyDescent="0.2">
      <c r="A698" s="1">
        <v>76</v>
      </c>
      <c r="B698" s="1" t="s">
        <v>829</v>
      </c>
      <c r="E698" s="40">
        <v>9311</v>
      </c>
    </row>
    <row r="699" spans="1:5" ht="12.75" hidden="1" customHeight="1" x14ac:dyDescent="0.2">
      <c r="A699" s="1">
        <v>77</v>
      </c>
      <c r="B699" s="1" t="s">
        <v>830</v>
      </c>
      <c r="E699" s="40">
        <v>9312</v>
      </c>
    </row>
    <row r="700" spans="1:5" ht="12.75" hidden="1" customHeight="1" x14ac:dyDescent="0.2">
      <c r="A700" s="1">
        <v>80</v>
      </c>
      <c r="B700" s="1" t="s">
        <v>1991</v>
      </c>
      <c r="E700" s="40">
        <v>9313</v>
      </c>
    </row>
    <row r="701" spans="1:5" ht="12.75" hidden="1" customHeight="1" x14ac:dyDescent="0.2">
      <c r="A701" s="1">
        <v>86</v>
      </c>
      <c r="B701" s="1" t="s">
        <v>831</v>
      </c>
      <c r="E701" s="40">
        <v>9319</v>
      </c>
    </row>
    <row r="702" spans="1:5" ht="12.75" hidden="1" customHeight="1" x14ac:dyDescent="0.2">
      <c r="A702" s="1">
        <v>90</v>
      </c>
      <c r="B702" s="1" t="s">
        <v>832</v>
      </c>
      <c r="E702" s="40">
        <v>9321</v>
      </c>
    </row>
    <row r="703" spans="1:5" ht="12.75" hidden="1" customHeight="1" x14ac:dyDescent="0.2">
      <c r="A703" s="1">
        <v>95</v>
      </c>
      <c r="B703" s="1" t="s">
        <v>3872</v>
      </c>
      <c r="E703" s="40">
        <v>9329</v>
      </c>
    </row>
    <row r="704" spans="1:5" ht="12.75" hidden="1" customHeight="1" x14ac:dyDescent="0.2">
      <c r="A704" s="1">
        <v>96</v>
      </c>
      <c r="B704" s="1" t="s">
        <v>1992</v>
      </c>
      <c r="E704" s="40">
        <v>9411</v>
      </c>
    </row>
    <row r="705" spans="1:5" ht="12.75" hidden="1" customHeight="1" x14ac:dyDescent="0.2">
      <c r="A705" s="1">
        <v>102</v>
      </c>
      <c r="B705" s="1" t="s">
        <v>1993</v>
      </c>
      <c r="E705" s="40">
        <v>9412</v>
      </c>
    </row>
    <row r="706" spans="1:5" ht="12.75" hidden="1" customHeight="1" x14ac:dyDescent="0.2">
      <c r="A706" s="1">
        <v>106</v>
      </c>
      <c r="B706" s="1" t="s">
        <v>3520</v>
      </c>
      <c r="E706" s="40">
        <v>9420</v>
      </c>
    </row>
    <row r="707" spans="1:5" ht="12.75" hidden="1" customHeight="1" x14ac:dyDescent="0.2">
      <c r="A707" s="1">
        <v>109</v>
      </c>
      <c r="B707" s="1" t="s">
        <v>833</v>
      </c>
      <c r="E707" s="40">
        <v>9491</v>
      </c>
    </row>
    <row r="708" spans="1:5" ht="12.75" hidden="1" customHeight="1" x14ac:dyDescent="0.2">
      <c r="A708" s="1">
        <v>110</v>
      </c>
      <c r="B708" s="1" t="s">
        <v>3620</v>
      </c>
      <c r="E708" s="40">
        <v>9492</v>
      </c>
    </row>
    <row r="709" spans="1:5" ht="12.75" hidden="1" customHeight="1" x14ac:dyDescent="0.2">
      <c r="A709" s="1">
        <v>120</v>
      </c>
      <c r="B709" s="1" t="s">
        <v>3521</v>
      </c>
      <c r="E709" s="40">
        <v>9499</v>
      </c>
    </row>
    <row r="710" spans="1:5" ht="12.75" hidden="1" customHeight="1" x14ac:dyDescent="0.2">
      <c r="A710" s="1">
        <v>121</v>
      </c>
      <c r="B710" s="1" t="s">
        <v>175</v>
      </c>
      <c r="E710" s="40">
        <v>9511</v>
      </c>
    </row>
    <row r="711" spans="1:5" ht="12.75" hidden="1" customHeight="1" x14ac:dyDescent="0.2">
      <c r="A711" s="1">
        <v>122</v>
      </c>
      <c r="B711" s="1" t="s">
        <v>3238</v>
      </c>
      <c r="E711" s="40">
        <v>9512</v>
      </c>
    </row>
    <row r="712" spans="1:5" ht="12.75" hidden="1" customHeight="1" x14ac:dyDescent="0.2">
      <c r="A712" s="1">
        <v>123</v>
      </c>
      <c r="B712" s="1" t="s">
        <v>176</v>
      </c>
      <c r="E712" s="40">
        <v>9521</v>
      </c>
    </row>
    <row r="713" spans="1:5" ht="12.75" hidden="1" customHeight="1" x14ac:dyDescent="0.2">
      <c r="A713" s="1">
        <v>160</v>
      </c>
      <c r="B713" s="1" t="s">
        <v>3835</v>
      </c>
      <c r="E713" s="40">
        <v>9522</v>
      </c>
    </row>
    <row r="714" spans="1:5" ht="12.75" hidden="1" customHeight="1" x14ac:dyDescent="0.2">
      <c r="A714" s="1">
        <v>185</v>
      </c>
      <c r="B714" s="1" t="s">
        <v>70</v>
      </c>
      <c r="E714" s="40">
        <v>9523</v>
      </c>
    </row>
    <row r="715" spans="1:5" ht="12.75" hidden="1" customHeight="1" x14ac:dyDescent="0.2">
      <c r="A715" s="1">
        <v>196</v>
      </c>
      <c r="B715" s="1" t="s">
        <v>3365</v>
      </c>
      <c r="E715" s="40">
        <v>9524</v>
      </c>
    </row>
    <row r="716" spans="1:5" ht="12.75" hidden="1" customHeight="1" x14ac:dyDescent="0.2">
      <c r="A716" s="1">
        <v>225</v>
      </c>
      <c r="B716" s="1" t="s">
        <v>3425</v>
      </c>
      <c r="E716" s="40">
        <v>9525</v>
      </c>
    </row>
    <row r="717" spans="1:5" ht="12.75" hidden="1" customHeight="1" x14ac:dyDescent="0.2">
      <c r="A717" s="1">
        <v>240</v>
      </c>
      <c r="B717" s="1" t="s">
        <v>3220</v>
      </c>
      <c r="E717" s="40">
        <v>9529</v>
      </c>
    </row>
    <row r="718" spans="1:5" ht="12.75" hidden="1" customHeight="1" x14ac:dyDescent="0.2">
      <c r="A718" s="1">
        <v>241</v>
      </c>
      <c r="B718" s="1" t="s">
        <v>177</v>
      </c>
      <c r="E718" s="40">
        <v>9601</v>
      </c>
    </row>
    <row r="719" spans="1:5" ht="12.75" hidden="1" customHeight="1" x14ac:dyDescent="0.2">
      <c r="A719" s="1">
        <v>242</v>
      </c>
      <c r="B719" s="1" t="s">
        <v>3923</v>
      </c>
      <c r="E719" s="40">
        <v>9602</v>
      </c>
    </row>
    <row r="720" spans="1:5" ht="12.75" hidden="1" customHeight="1" x14ac:dyDescent="0.2">
      <c r="A720" s="1">
        <v>250</v>
      </c>
      <c r="B720" s="1" t="s">
        <v>4299</v>
      </c>
      <c r="E720" s="40">
        <v>9603</v>
      </c>
    </row>
    <row r="721" spans="1:5" ht="12.75" hidden="1" customHeight="1" x14ac:dyDescent="0.2">
      <c r="A721" s="1">
        <v>256</v>
      </c>
      <c r="B721" s="1" t="s">
        <v>401</v>
      </c>
      <c r="E721" s="40">
        <v>9604</v>
      </c>
    </row>
    <row r="722" spans="1:5" ht="12.75" hidden="1" customHeight="1" x14ac:dyDescent="0.2">
      <c r="A722" s="1">
        <v>258</v>
      </c>
      <c r="B722" s="1" t="s">
        <v>3366</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39:A42"/>
    <mergeCell ref="J65:K65"/>
    <mergeCell ref="A44:A47"/>
    <mergeCell ref="A60:A63"/>
    <mergeCell ref="B47:H47"/>
    <mergeCell ref="B60:H60"/>
    <mergeCell ref="B46:H46"/>
    <mergeCell ref="B45:H45"/>
    <mergeCell ref="A49:A53"/>
    <mergeCell ref="A55:A58"/>
    <mergeCell ref="B49:H49"/>
    <mergeCell ref="B50:H50"/>
    <mergeCell ref="B51:H51"/>
    <mergeCell ref="B56:H56"/>
    <mergeCell ref="B55:H55"/>
    <mergeCell ref="B54:H54"/>
    <mergeCell ref="B52:H52"/>
    <mergeCell ref="B53:H53"/>
    <mergeCell ref="B62:H62"/>
    <mergeCell ref="B63:H63"/>
    <mergeCell ref="C22:K22"/>
    <mergeCell ref="H25:K25"/>
    <mergeCell ref="D24:F24"/>
    <mergeCell ref="C25:D25"/>
    <mergeCell ref="B57:H57"/>
    <mergeCell ref="B58:H58"/>
    <mergeCell ref="B59:H59"/>
    <mergeCell ref="B44:H44"/>
    <mergeCell ref="A67:D67"/>
    <mergeCell ref="H67:K67"/>
    <mergeCell ref="B10:I10"/>
    <mergeCell ref="C16:K16"/>
    <mergeCell ref="B40:H40"/>
    <mergeCell ref="B61:H61"/>
    <mergeCell ref="B41:H41"/>
    <mergeCell ref="B42:H42"/>
    <mergeCell ref="B43:H43"/>
    <mergeCell ref="B48:H48"/>
    <mergeCell ref="B39:H39"/>
    <mergeCell ref="H33:K33"/>
    <mergeCell ref="H29:K29"/>
    <mergeCell ref="C31:D31"/>
    <mergeCell ref="B38:H38"/>
    <mergeCell ref="C29:D29"/>
    <mergeCell ref="H35:K35"/>
    <mergeCell ref="H31:K31"/>
    <mergeCell ref="C33:D33"/>
    <mergeCell ref="J1:K1"/>
    <mergeCell ref="B14:G14"/>
    <mergeCell ref="J6:K6"/>
    <mergeCell ref="G1:I1"/>
    <mergeCell ref="J8:K8"/>
    <mergeCell ref="E1:F1"/>
    <mergeCell ref="C1:D1"/>
    <mergeCell ref="J3:K3"/>
    <mergeCell ref="D6:E6"/>
    <mergeCell ref="A1:B1"/>
    <mergeCell ref="A2:K2"/>
    <mergeCell ref="C27:D27"/>
    <mergeCell ref="C8:H8"/>
    <mergeCell ref="A25:A33"/>
    <mergeCell ref="A4:K4"/>
    <mergeCell ref="C12:G12"/>
    <mergeCell ref="A5:K5"/>
    <mergeCell ref="H27:I27"/>
    <mergeCell ref="C18:K18"/>
    <mergeCell ref="C20:K20"/>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120" zoomScaleNormal="120" workbookViewId="0">
      <pane ySplit="1" topLeftCell="A111" activePane="bottomLeft" state="frozen"/>
      <selection pane="bottomLeft" activeCell="E667" sqref="E667"/>
    </sheetView>
  </sheetViews>
  <sheetFormatPr defaultColWidth="0" defaultRowHeight="12" zeroHeight="1" x14ac:dyDescent="0.2"/>
  <cols>
    <col min="1" max="1" width="8.7109375" style="178" customWidth="1"/>
    <col min="2" max="2" width="71.5703125" style="178" customWidth="1"/>
    <col min="3" max="3" width="3.85546875" style="178" customWidth="1"/>
    <col min="4" max="5" width="14.7109375" style="178" customWidth="1"/>
    <col min="6" max="6" width="6.85546875" style="178" customWidth="1"/>
    <col min="7" max="7" width="0.85546875" style="194" customWidth="1"/>
    <col min="8" max="248" width="6.7109375" style="179" hidden="1" customWidth="1"/>
    <col min="249" max="249" width="6.7109375" style="179" hidden="1"/>
    <col min="250" max="16384" width="0" style="179" hidden="1"/>
  </cols>
  <sheetData>
    <row r="1" spans="1:7" s="14" customFormat="1" ht="20.100000000000001" customHeight="1" thickBot="1" x14ac:dyDescent="0.25">
      <c r="A1" s="438" t="s">
        <v>1407</v>
      </c>
      <c r="B1" s="439"/>
      <c r="C1" s="442"/>
      <c r="D1" s="443"/>
      <c r="E1" s="443"/>
      <c r="F1" s="443"/>
    </row>
    <row r="2" spans="1:7" s="19" customFormat="1" ht="39.950000000000003" customHeight="1" thickBot="1" x14ac:dyDescent="0.25">
      <c r="A2" s="444" t="s">
        <v>2984</v>
      </c>
      <c r="B2" s="437"/>
      <c r="C2" s="437"/>
      <c r="D2" s="445"/>
      <c r="E2" s="440" t="s">
        <v>1882</v>
      </c>
      <c r="F2" s="441"/>
    </row>
    <row r="3" spans="1:7" s="173" customFormat="1" ht="30" customHeight="1" x14ac:dyDescent="0.2">
      <c r="A3" s="436" t="str">
        <f>"za razdoblje "&amp;IF(RefStr!K10="","________________",TEXT(RefStr!K10,"d. mmmm yyyy.")&amp;" do "&amp;IF(RefStr!K12="","______________",TEXT(RefStr!K12,"d. mmmm yyyy.")))</f>
        <v>za razdoblje 1. siječanj 2021. do 30. rujan 2021.</v>
      </c>
      <c r="B3" s="437"/>
      <c r="C3" s="437"/>
      <c r="D3" s="437"/>
      <c r="E3" s="51"/>
      <c r="F3" s="51"/>
    </row>
    <row r="4" spans="1:7" s="19" customFormat="1" ht="12.75" x14ac:dyDescent="0.2">
      <c r="A4" s="32" t="s">
        <v>1094</v>
      </c>
      <c r="B4" s="446" t="str">
        <f>"RKP: "&amp;IF(RefStr!B6&lt;&gt;"",TEXT(INT(VALUE(RefStr!B6)),"00000"),"_____"&amp;",  "&amp;"MB: "&amp;IF(RefStr!B8&lt;&gt;"",TEXT(INT(VALUE(RefStr!B8)),"00000000"),"________")&amp;"  OIB: "&amp;IF(RefStr!K14&lt;&gt;"",RefStr!K14,"___________"))</f>
        <v>RKP: 27861</v>
      </c>
      <c r="C4" s="447"/>
      <c r="D4" s="447"/>
      <c r="E4" s="433">
        <f>SUM(Skriveni!G2:G983)</f>
        <v>116760372.14700001</v>
      </c>
      <c r="F4" s="434"/>
    </row>
    <row r="5" spans="1:7" s="19" customFormat="1" ht="12.75" x14ac:dyDescent="0.2">
      <c r="B5" s="446" t="str">
        <f>"Naziv: "&amp;IF(RefStr!B10&lt;&gt;"",RefStr!B10,"_______________________________________")</f>
        <v xml:space="preserve">Naziv: OPĆINA FERDINANDOVAC </v>
      </c>
      <c r="C5" s="447"/>
      <c r="D5" s="447"/>
      <c r="E5" s="435" t="s">
        <v>259</v>
      </c>
      <c r="F5" s="435"/>
    </row>
    <row r="6" spans="1:7" s="19" customFormat="1" ht="12.75" x14ac:dyDescent="0.2">
      <c r="A6" s="20"/>
      <c r="B6" s="448" t="str">
        <f xml:space="preserve"> "Razina: " &amp; RefStr!B16 &amp; ", Razdjel: " &amp; TEXT(INT(VALUE(RefStr!B20)), "000")</f>
        <v>Razina: 22, Razdjel: 000</v>
      </c>
      <c r="C6" s="449"/>
      <c r="D6" s="449"/>
      <c r="E6" s="449"/>
      <c r="F6" s="449"/>
    </row>
    <row r="7" spans="1:7" s="19" customFormat="1" ht="12.75" x14ac:dyDescent="0.2">
      <c r="A7" s="20"/>
      <c r="B7" s="448" t="str">
        <f>"Djelatnost: " &amp; RefStr!B18 &amp; " " &amp; RefStr!C18</f>
        <v>Djelatnost: 8411 Opće djelatnosti javne uprave</v>
      </c>
      <c r="C7" s="449"/>
      <c r="D7" s="449"/>
      <c r="E7" s="449"/>
      <c r="F7" s="449"/>
    </row>
    <row r="8" spans="1:7" s="19" customFormat="1" ht="12.75" x14ac:dyDescent="0.2">
      <c r="A8" s="21"/>
      <c r="B8" s="21"/>
      <c r="C8" s="214"/>
      <c r="F8" s="175" t="s">
        <v>804</v>
      </c>
    </row>
    <row r="9" spans="1:7" ht="39" x14ac:dyDescent="0.2">
      <c r="A9" s="200" t="s">
        <v>3922</v>
      </c>
      <c r="B9" s="201" t="s">
        <v>1759</v>
      </c>
      <c r="C9" s="201" t="s">
        <v>2203</v>
      </c>
      <c r="D9" s="273" t="s">
        <v>1760</v>
      </c>
      <c r="E9" s="273" t="s">
        <v>3608</v>
      </c>
      <c r="F9" s="183" t="s">
        <v>3409</v>
      </c>
      <c r="G9" s="179"/>
    </row>
    <row r="10" spans="1:7" x14ac:dyDescent="0.2">
      <c r="A10" s="202">
        <v>1</v>
      </c>
      <c r="B10" s="203">
        <v>2</v>
      </c>
      <c r="C10" s="204">
        <v>3</v>
      </c>
      <c r="D10" s="205">
        <v>4</v>
      </c>
      <c r="E10" s="205">
        <v>5</v>
      </c>
      <c r="F10" s="206">
        <v>6</v>
      </c>
      <c r="G10" s="179"/>
    </row>
    <row r="11" spans="1:7" s="7" customFormat="1" ht="15" x14ac:dyDescent="0.2">
      <c r="A11" s="450" t="s">
        <v>3726</v>
      </c>
      <c r="B11" s="451"/>
      <c r="C11" s="288"/>
      <c r="D11" s="289"/>
      <c r="E11" s="289"/>
      <c r="F11" s="290"/>
    </row>
    <row r="12" spans="1:7" s="7" customFormat="1" x14ac:dyDescent="0.2">
      <c r="A12" s="220">
        <v>6</v>
      </c>
      <c r="B12" s="221" t="s">
        <v>200</v>
      </c>
      <c r="C12" s="222">
        <v>1</v>
      </c>
      <c r="D12" s="230">
        <f>D13+D50+D56+D88+D112+D130+D139+D145</f>
        <v>6071444</v>
      </c>
      <c r="E12" s="230">
        <f>E13+E50+E56+E88+E112+E130+E139+E145</f>
        <v>5141176</v>
      </c>
      <c r="F12" s="229">
        <f>IF(D12&lt;&gt;0,IF(E12/D12&gt;=100,"&gt;&gt;100",E12/D12*100),"-")</f>
        <v>84.67797775949181</v>
      </c>
    </row>
    <row r="13" spans="1:7" s="7" customFormat="1" x14ac:dyDescent="0.2">
      <c r="A13" s="220">
        <v>61</v>
      </c>
      <c r="B13" s="221" t="s">
        <v>74</v>
      </c>
      <c r="C13" s="222">
        <v>2</v>
      </c>
      <c r="D13" s="230">
        <f>D14+D23+D29+D35+D43+D46</f>
        <v>2557226</v>
      </c>
      <c r="E13" s="230">
        <f>E14+E23+E29+E35+E43+E46</f>
        <v>760847</v>
      </c>
      <c r="F13" s="229">
        <f>IF(D13&lt;&gt;0,IF(E13/D13&gt;=100,"&gt;&gt;100",E13/D13*100),"-")</f>
        <v>29.752825913704928</v>
      </c>
    </row>
    <row r="14" spans="1:7" s="7" customFormat="1" x14ac:dyDescent="0.2">
      <c r="A14" s="220">
        <v>611</v>
      </c>
      <c r="B14" s="221" t="s">
        <v>1297</v>
      </c>
      <c r="C14" s="222">
        <v>3</v>
      </c>
      <c r="D14" s="230">
        <f>SUM(D15:D20)-D21-D22</f>
        <v>2500254</v>
      </c>
      <c r="E14" s="230">
        <f>SUM(E15:E20)-E21-E22</f>
        <v>709722</v>
      </c>
      <c r="F14" s="229">
        <f t="shared" ref="F14:F80" si="0">IF(D14&lt;&gt;0,IF(E14/D14&gt;=100,"&gt;&gt;100",E14/D14*100),"-")</f>
        <v>28.385995982808147</v>
      </c>
    </row>
    <row r="15" spans="1:7" s="7" customFormat="1" x14ac:dyDescent="0.2">
      <c r="A15" s="220">
        <v>6111</v>
      </c>
      <c r="B15" s="221" t="s">
        <v>220</v>
      </c>
      <c r="C15" s="222">
        <v>4</v>
      </c>
      <c r="D15" s="223">
        <v>2500254</v>
      </c>
      <c r="E15" s="223">
        <v>709722</v>
      </c>
      <c r="F15" s="229">
        <f t="shared" si="0"/>
        <v>28.385995982808147</v>
      </c>
    </row>
    <row r="16" spans="1:7" s="7" customFormat="1" x14ac:dyDescent="0.2">
      <c r="A16" s="220">
        <v>6112</v>
      </c>
      <c r="B16" s="221" t="s">
        <v>3502</v>
      </c>
      <c r="C16" s="222">
        <v>5</v>
      </c>
      <c r="D16" s="223"/>
      <c r="E16" s="223"/>
      <c r="F16" s="229" t="str">
        <f t="shared" si="0"/>
        <v>-</v>
      </c>
    </row>
    <row r="17" spans="1:6" s="7" customFormat="1" x14ac:dyDescent="0.2">
      <c r="A17" s="220">
        <v>6113</v>
      </c>
      <c r="B17" s="221" t="s">
        <v>1296</v>
      </c>
      <c r="C17" s="222">
        <v>6</v>
      </c>
      <c r="D17" s="223"/>
      <c r="E17" s="223"/>
      <c r="F17" s="229" t="str">
        <f t="shared" si="0"/>
        <v>-</v>
      </c>
    </row>
    <row r="18" spans="1:6" s="7" customFormat="1" x14ac:dyDescent="0.2">
      <c r="A18" s="220">
        <v>6114</v>
      </c>
      <c r="B18" s="221" t="s">
        <v>3758</v>
      </c>
      <c r="C18" s="222">
        <v>7</v>
      </c>
      <c r="D18" s="223"/>
      <c r="E18" s="223"/>
      <c r="F18" s="229" t="str">
        <f t="shared" si="0"/>
        <v>-</v>
      </c>
    </row>
    <row r="19" spans="1:6" s="7" customFormat="1" x14ac:dyDescent="0.2">
      <c r="A19" s="220">
        <v>6115</v>
      </c>
      <c r="B19" s="221" t="s">
        <v>3759</v>
      </c>
      <c r="C19" s="222">
        <v>8</v>
      </c>
      <c r="D19" s="223"/>
      <c r="E19" s="223"/>
      <c r="F19" s="229" t="str">
        <f t="shared" si="0"/>
        <v>-</v>
      </c>
    </row>
    <row r="20" spans="1:6" s="7" customFormat="1" x14ac:dyDescent="0.2">
      <c r="A20" s="220">
        <v>6116</v>
      </c>
      <c r="B20" s="221" t="s">
        <v>3760</v>
      </c>
      <c r="C20" s="222">
        <v>9</v>
      </c>
      <c r="D20" s="223"/>
      <c r="E20" s="223"/>
      <c r="F20" s="229" t="str">
        <f t="shared" si="0"/>
        <v>-</v>
      </c>
    </row>
    <row r="21" spans="1:6" s="7" customFormat="1" x14ac:dyDescent="0.2">
      <c r="A21" s="220">
        <v>6117</v>
      </c>
      <c r="B21" s="221" t="s">
        <v>3761</v>
      </c>
      <c r="C21" s="222">
        <v>10</v>
      </c>
      <c r="D21" s="223"/>
      <c r="E21" s="223"/>
      <c r="F21" s="229" t="str">
        <f t="shared" si="0"/>
        <v>-</v>
      </c>
    </row>
    <row r="22" spans="1:6" s="7" customFormat="1" x14ac:dyDescent="0.2">
      <c r="A22" s="220">
        <v>6119</v>
      </c>
      <c r="B22" s="221" t="s">
        <v>3379</v>
      </c>
      <c r="C22" s="222">
        <v>11</v>
      </c>
      <c r="D22" s="223"/>
      <c r="E22" s="223"/>
      <c r="F22" s="229" t="str">
        <f t="shared" si="0"/>
        <v>-</v>
      </c>
    </row>
    <row r="23" spans="1:6" s="7" customFormat="1" x14ac:dyDescent="0.2">
      <c r="A23" s="220">
        <v>612</v>
      </c>
      <c r="B23" s="221" t="s">
        <v>3233</v>
      </c>
      <c r="C23" s="222">
        <v>12</v>
      </c>
      <c r="D23" s="230">
        <f>SUM(D24:D27)-D28</f>
        <v>0</v>
      </c>
      <c r="E23" s="230">
        <f>SUM(E24:E27)-E28</f>
        <v>0</v>
      </c>
      <c r="F23" s="231" t="str">
        <f t="shared" si="0"/>
        <v>-</v>
      </c>
    </row>
    <row r="24" spans="1:6" s="7" customFormat="1" x14ac:dyDescent="0.2">
      <c r="A24" s="220">
        <v>6121</v>
      </c>
      <c r="B24" s="221" t="s">
        <v>3762</v>
      </c>
      <c r="C24" s="222">
        <v>13</v>
      </c>
      <c r="D24" s="223"/>
      <c r="E24" s="223"/>
      <c r="F24" s="229" t="str">
        <f t="shared" si="0"/>
        <v>-</v>
      </c>
    </row>
    <row r="25" spans="1:6" s="7" customFormat="1" x14ac:dyDescent="0.2">
      <c r="A25" s="220">
        <v>6122</v>
      </c>
      <c r="B25" s="221" t="s">
        <v>3763</v>
      </c>
      <c r="C25" s="222">
        <v>14</v>
      </c>
      <c r="D25" s="223"/>
      <c r="E25" s="223"/>
      <c r="F25" s="229" t="str">
        <f t="shared" si="0"/>
        <v>-</v>
      </c>
    </row>
    <row r="26" spans="1:6" s="7" customFormat="1" x14ac:dyDescent="0.2">
      <c r="A26" s="220">
        <v>6123</v>
      </c>
      <c r="B26" s="221" t="s">
        <v>3764</v>
      </c>
      <c r="C26" s="222">
        <v>15</v>
      </c>
      <c r="D26" s="223"/>
      <c r="E26" s="223"/>
      <c r="F26" s="229" t="str">
        <f t="shared" si="0"/>
        <v>-</v>
      </c>
    </row>
    <row r="27" spans="1:6" s="7" customFormat="1" x14ac:dyDescent="0.2">
      <c r="A27" s="220">
        <v>6124</v>
      </c>
      <c r="B27" s="221" t="s">
        <v>1119</v>
      </c>
      <c r="C27" s="222">
        <v>16</v>
      </c>
      <c r="D27" s="223"/>
      <c r="E27" s="223"/>
      <c r="F27" s="229" t="str">
        <f t="shared" si="0"/>
        <v>-</v>
      </c>
    </row>
    <row r="28" spans="1:6" s="7" customFormat="1" x14ac:dyDescent="0.2">
      <c r="A28" s="220">
        <v>6125</v>
      </c>
      <c r="B28" s="221" t="s">
        <v>1120</v>
      </c>
      <c r="C28" s="222">
        <v>17</v>
      </c>
      <c r="D28" s="223"/>
      <c r="E28" s="223"/>
      <c r="F28" s="229" t="str">
        <f t="shared" si="0"/>
        <v>-</v>
      </c>
    </row>
    <row r="29" spans="1:6" s="7" customFormat="1" x14ac:dyDescent="0.2">
      <c r="A29" s="220">
        <v>613</v>
      </c>
      <c r="B29" s="221" t="s">
        <v>2187</v>
      </c>
      <c r="C29" s="222">
        <v>18</v>
      </c>
      <c r="D29" s="230">
        <f>SUM(D30:D34)</f>
        <v>51695</v>
      </c>
      <c r="E29" s="230">
        <f>SUM(E30:E34)</f>
        <v>37853</v>
      </c>
      <c r="F29" s="231">
        <f t="shared" si="0"/>
        <v>73.223716026695044</v>
      </c>
    </row>
    <row r="30" spans="1:6" s="7" customFormat="1" x14ac:dyDescent="0.2">
      <c r="A30" s="220">
        <v>6131</v>
      </c>
      <c r="B30" s="221" t="s">
        <v>1121</v>
      </c>
      <c r="C30" s="222">
        <v>19</v>
      </c>
      <c r="D30" s="223">
        <v>884</v>
      </c>
      <c r="E30" s="223">
        <v>3646</v>
      </c>
      <c r="F30" s="229">
        <f t="shared" si="0"/>
        <v>412.44343891402713</v>
      </c>
    </row>
    <row r="31" spans="1:6" s="7" customFormat="1" x14ac:dyDescent="0.2">
      <c r="A31" s="220">
        <v>6132</v>
      </c>
      <c r="B31" s="221" t="s">
        <v>1122</v>
      </c>
      <c r="C31" s="222">
        <v>20</v>
      </c>
      <c r="D31" s="223"/>
      <c r="E31" s="223"/>
      <c r="F31" s="229" t="str">
        <f t="shared" si="0"/>
        <v>-</v>
      </c>
    </row>
    <row r="32" spans="1:6" s="7" customFormat="1" x14ac:dyDescent="0.2">
      <c r="A32" s="220">
        <v>6133</v>
      </c>
      <c r="B32" s="221" t="s">
        <v>3404</v>
      </c>
      <c r="C32" s="222">
        <v>21</v>
      </c>
      <c r="D32" s="223"/>
      <c r="E32" s="223"/>
      <c r="F32" s="229" t="str">
        <f t="shared" si="0"/>
        <v>-</v>
      </c>
    </row>
    <row r="33" spans="1:6" s="7" customFormat="1" x14ac:dyDescent="0.2">
      <c r="A33" s="220">
        <v>6134</v>
      </c>
      <c r="B33" s="221" t="s">
        <v>3380</v>
      </c>
      <c r="C33" s="222">
        <v>22</v>
      </c>
      <c r="D33" s="223">
        <v>50811</v>
      </c>
      <c r="E33" s="223">
        <v>34207</v>
      </c>
      <c r="F33" s="229">
        <f t="shared" si="0"/>
        <v>67.322036566885117</v>
      </c>
    </row>
    <row r="34" spans="1:6" s="7" customFormat="1" x14ac:dyDescent="0.2">
      <c r="A34" s="220">
        <v>6135</v>
      </c>
      <c r="B34" s="221" t="s">
        <v>3381</v>
      </c>
      <c r="C34" s="222">
        <v>23</v>
      </c>
      <c r="D34" s="223"/>
      <c r="E34" s="223"/>
      <c r="F34" s="229" t="str">
        <f t="shared" si="0"/>
        <v>-</v>
      </c>
    </row>
    <row r="35" spans="1:6" s="7" customFormat="1" x14ac:dyDescent="0.2">
      <c r="A35" s="220">
        <v>614</v>
      </c>
      <c r="B35" s="221" t="s">
        <v>3386</v>
      </c>
      <c r="C35" s="222">
        <v>24</v>
      </c>
      <c r="D35" s="230">
        <f>SUM(D36:D42)</f>
        <v>5277</v>
      </c>
      <c r="E35" s="230">
        <f>SUM(E36:E42)</f>
        <v>13272</v>
      </c>
      <c r="F35" s="231">
        <f t="shared" si="0"/>
        <v>251.50653780557133</v>
      </c>
    </row>
    <row r="36" spans="1:6" s="7" customFormat="1" x14ac:dyDescent="0.2">
      <c r="A36" s="220">
        <v>6141</v>
      </c>
      <c r="B36" s="221" t="s">
        <v>2868</v>
      </c>
      <c r="C36" s="222">
        <v>25</v>
      </c>
      <c r="D36" s="223"/>
      <c r="E36" s="223"/>
      <c r="F36" s="229" t="str">
        <f t="shared" si="0"/>
        <v>-</v>
      </c>
    </row>
    <row r="37" spans="1:6" s="7" customFormat="1" x14ac:dyDescent="0.2">
      <c r="A37" s="220">
        <v>6142</v>
      </c>
      <c r="B37" s="221" t="s">
        <v>2869</v>
      </c>
      <c r="C37" s="222">
        <v>26</v>
      </c>
      <c r="D37" s="223">
        <v>5277</v>
      </c>
      <c r="E37" s="223">
        <v>9282</v>
      </c>
      <c r="F37" s="229">
        <f t="shared" si="0"/>
        <v>175.89539511085843</v>
      </c>
    </row>
    <row r="38" spans="1:6" s="7" customFormat="1" x14ac:dyDescent="0.2">
      <c r="A38" s="220">
        <v>6143</v>
      </c>
      <c r="B38" s="221" t="s">
        <v>3387</v>
      </c>
      <c r="C38" s="222">
        <v>27</v>
      </c>
      <c r="D38" s="223"/>
      <c r="E38" s="223"/>
      <c r="F38" s="229" t="str">
        <f t="shared" si="0"/>
        <v>-</v>
      </c>
    </row>
    <row r="39" spans="1:6" s="7" customFormat="1" x14ac:dyDescent="0.2">
      <c r="A39" s="220">
        <v>6145</v>
      </c>
      <c r="B39" s="221" t="s">
        <v>3388</v>
      </c>
      <c r="C39" s="222">
        <v>28</v>
      </c>
      <c r="D39" s="223"/>
      <c r="E39" s="223">
        <v>3990</v>
      </c>
      <c r="F39" s="229" t="str">
        <f t="shared" si="0"/>
        <v>-</v>
      </c>
    </row>
    <row r="40" spans="1:6" s="7" customFormat="1" x14ac:dyDescent="0.2">
      <c r="A40" s="220">
        <v>6146</v>
      </c>
      <c r="B40" s="221" t="s">
        <v>3754</v>
      </c>
      <c r="C40" s="222">
        <v>29</v>
      </c>
      <c r="D40" s="223"/>
      <c r="E40" s="223"/>
      <c r="F40" s="229" t="str">
        <f t="shared" si="0"/>
        <v>-</v>
      </c>
    </row>
    <row r="41" spans="1:6" s="7" customFormat="1" x14ac:dyDescent="0.2">
      <c r="A41" s="220">
        <v>6147</v>
      </c>
      <c r="B41" s="221" t="s">
        <v>3803</v>
      </c>
      <c r="C41" s="222">
        <v>30</v>
      </c>
      <c r="D41" s="223"/>
      <c r="E41" s="223"/>
      <c r="F41" s="229" t="str">
        <f t="shared" si="0"/>
        <v>-</v>
      </c>
    </row>
    <row r="42" spans="1:6" s="7" customFormat="1" x14ac:dyDescent="0.2">
      <c r="A42" s="220">
        <v>6148</v>
      </c>
      <c r="B42" s="221" t="s">
        <v>3804</v>
      </c>
      <c r="C42" s="222">
        <v>31</v>
      </c>
      <c r="D42" s="223"/>
      <c r="E42" s="223"/>
      <c r="F42" s="229" t="str">
        <f t="shared" si="0"/>
        <v>-</v>
      </c>
    </row>
    <row r="43" spans="1:6" s="7" customFormat="1" x14ac:dyDescent="0.2">
      <c r="A43" s="220">
        <v>615</v>
      </c>
      <c r="B43" s="221" t="s">
        <v>808</v>
      </c>
      <c r="C43" s="222">
        <v>32</v>
      </c>
      <c r="D43" s="230">
        <f>SUM(D44:D45)</f>
        <v>0</v>
      </c>
      <c r="E43" s="230">
        <f>SUM(E44:E45)</f>
        <v>0</v>
      </c>
      <c r="F43" s="231" t="str">
        <f t="shared" si="0"/>
        <v>-</v>
      </c>
    </row>
    <row r="44" spans="1:6" s="7" customFormat="1" x14ac:dyDescent="0.2">
      <c r="A44" s="220">
        <v>6151</v>
      </c>
      <c r="B44" s="221" t="s">
        <v>3755</v>
      </c>
      <c r="C44" s="222">
        <v>33</v>
      </c>
      <c r="D44" s="223"/>
      <c r="E44" s="223"/>
      <c r="F44" s="229" t="str">
        <f t="shared" si="0"/>
        <v>-</v>
      </c>
    </row>
    <row r="45" spans="1:6" s="7" customFormat="1" x14ac:dyDescent="0.2">
      <c r="A45" s="220">
        <v>6152</v>
      </c>
      <c r="B45" s="221" t="s">
        <v>3756</v>
      </c>
      <c r="C45" s="222">
        <v>34</v>
      </c>
      <c r="D45" s="223"/>
      <c r="E45" s="223"/>
      <c r="F45" s="229" t="str">
        <f t="shared" si="0"/>
        <v>-</v>
      </c>
    </row>
    <row r="46" spans="1:6" s="7" customFormat="1" x14ac:dyDescent="0.2">
      <c r="A46" s="220">
        <v>616</v>
      </c>
      <c r="B46" s="221" t="s">
        <v>809</v>
      </c>
      <c r="C46" s="222">
        <v>35</v>
      </c>
      <c r="D46" s="230">
        <f>SUM(D47:D49)</f>
        <v>0</v>
      </c>
      <c r="E46" s="230">
        <f>SUM(E47:E49)</f>
        <v>0</v>
      </c>
      <c r="F46" s="231" t="str">
        <f t="shared" si="0"/>
        <v>-</v>
      </c>
    </row>
    <row r="47" spans="1:6" s="7" customFormat="1" x14ac:dyDescent="0.2">
      <c r="A47" s="220">
        <v>6161</v>
      </c>
      <c r="B47" s="221" t="s">
        <v>3757</v>
      </c>
      <c r="C47" s="222">
        <v>36</v>
      </c>
      <c r="D47" s="223"/>
      <c r="E47" s="223"/>
      <c r="F47" s="229" t="str">
        <f t="shared" si="0"/>
        <v>-</v>
      </c>
    </row>
    <row r="48" spans="1:6" s="7" customFormat="1" x14ac:dyDescent="0.2">
      <c r="A48" s="220">
        <v>6162</v>
      </c>
      <c r="B48" s="221" t="s">
        <v>3018</v>
      </c>
      <c r="C48" s="222">
        <v>37</v>
      </c>
      <c r="D48" s="223"/>
      <c r="E48" s="223"/>
      <c r="F48" s="229" t="str">
        <f t="shared" si="0"/>
        <v>-</v>
      </c>
    </row>
    <row r="49" spans="1:6" s="7" customFormat="1" x14ac:dyDescent="0.2">
      <c r="A49" s="220">
        <v>6163</v>
      </c>
      <c r="B49" s="221" t="s">
        <v>3519</v>
      </c>
      <c r="C49" s="222">
        <v>38</v>
      </c>
      <c r="D49" s="223"/>
      <c r="E49" s="223"/>
      <c r="F49" s="229" t="str">
        <f t="shared" si="0"/>
        <v>-</v>
      </c>
    </row>
    <row r="50" spans="1:6" s="7" customFormat="1" x14ac:dyDescent="0.2">
      <c r="A50" s="220">
        <v>62</v>
      </c>
      <c r="B50" s="221" t="s">
        <v>3727</v>
      </c>
      <c r="C50" s="222">
        <v>39</v>
      </c>
      <c r="D50" s="230">
        <f>D51+D54+D55</f>
        <v>0</v>
      </c>
      <c r="E50" s="230">
        <f>E51+E54+E55</f>
        <v>0</v>
      </c>
      <c r="F50" s="231" t="str">
        <f t="shared" si="0"/>
        <v>-</v>
      </c>
    </row>
    <row r="51" spans="1:6" s="7" customFormat="1" x14ac:dyDescent="0.2">
      <c r="A51" s="220">
        <v>621</v>
      </c>
      <c r="B51" s="221" t="s">
        <v>810</v>
      </c>
      <c r="C51" s="222">
        <v>40</v>
      </c>
      <c r="D51" s="230">
        <f>SUM(D52:D53)</f>
        <v>0</v>
      </c>
      <c r="E51" s="230">
        <f>SUM(E52:E53)</f>
        <v>0</v>
      </c>
      <c r="F51" s="231" t="str">
        <f t="shared" si="0"/>
        <v>-</v>
      </c>
    </row>
    <row r="52" spans="1:6" s="7" customFormat="1" x14ac:dyDescent="0.2">
      <c r="A52" s="220">
        <v>6211</v>
      </c>
      <c r="B52" s="221" t="s">
        <v>1951</v>
      </c>
      <c r="C52" s="222">
        <v>41</v>
      </c>
      <c r="D52" s="223"/>
      <c r="E52" s="223"/>
      <c r="F52" s="229" t="str">
        <f t="shared" si="0"/>
        <v>-</v>
      </c>
    </row>
    <row r="53" spans="1:6" s="7" customFormat="1" x14ac:dyDescent="0.2">
      <c r="A53" s="220">
        <v>6212</v>
      </c>
      <c r="B53" s="221" t="s">
        <v>3786</v>
      </c>
      <c r="C53" s="222">
        <v>42</v>
      </c>
      <c r="D53" s="223"/>
      <c r="E53" s="223"/>
      <c r="F53" s="229" t="str">
        <f t="shared" si="0"/>
        <v>-</v>
      </c>
    </row>
    <row r="54" spans="1:6" s="7" customFormat="1" x14ac:dyDescent="0.2">
      <c r="A54" s="220">
        <v>622</v>
      </c>
      <c r="B54" s="221" t="s">
        <v>807</v>
      </c>
      <c r="C54" s="222">
        <v>43</v>
      </c>
      <c r="D54" s="223"/>
      <c r="E54" s="223"/>
      <c r="F54" s="229" t="str">
        <f t="shared" si="0"/>
        <v>-</v>
      </c>
    </row>
    <row r="55" spans="1:6" s="7" customFormat="1" x14ac:dyDescent="0.2">
      <c r="A55" s="220">
        <v>623</v>
      </c>
      <c r="B55" s="221" t="s">
        <v>3728</v>
      </c>
      <c r="C55" s="222">
        <v>44</v>
      </c>
      <c r="D55" s="223"/>
      <c r="E55" s="223"/>
      <c r="F55" s="229" t="str">
        <f t="shared" si="0"/>
        <v>-</v>
      </c>
    </row>
    <row r="56" spans="1:6" s="7" customFormat="1" ht="24" x14ac:dyDescent="0.2">
      <c r="A56" s="220">
        <v>63</v>
      </c>
      <c r="B56" s="221" t="s">
        <v>43</v>
      </c>
      <c r="C56" s="222">
        <v>45</v>
      </c>
      <c r="D56" s="230">
        <f>D57+D60+D65+D68+D71+D74+D77+D80+D83</f>
        <v>2436375</v>
      </c>
      <c r="E56" s="230">
        <f>E57+E60+E65+E68+E71+E74+E77+E80+E83</f>
        <v>2866883</v>
      </c>
      <c r="F56" s="231">
        <f t="shared" si="0"/>
        <v>117.67002206146427</v>
      </c>
    </row>
    <row r="57" spans="1:6" s="7" customFormat="1" x14ac:dyDescent="0.2">
      <c r="A57" s="220">
        <v>631</v>
      </c>
      <c r="B57" s="221" t="s">
        <v>3729</v>
      </c>
      <c r="C57" s="222">
        <v>46</v>
      </c>
      <c r="D57" s="230">
        <f>D58+D59</f>
        <v>0</v>
      </c>
      <c r="E57" s="230">
        <f>E58+E59</f>
        <v>0</v>
      </c>
      <c r="F57" s="231" t="str">
        <f t="shared" si="0"/>
        <v>-</v>
      </c>
    </row>
    <row r="58" spans="1:6" s="7" customFormat="1" x14ac:dyDescent="0.2">
      <c r="A58" s="220">
        <v>6311</v>
      </c>
      <c r="B58" s="221" t="s">
        <v>3275</v>
      </c>
      <c r="C58" s="222">
        <v>47</v>
      </c>
      <c r="D58" s="223"/>
      <c r="E58" s="223"/>
      <c r="F58" s="229" t="str">
        <f t="shared" si="0"/>
        <v>-</v>
      </c>
    </row>
    <row r="59" spans="1:6" s="7" customFormat="1" x14ac:dyDescent="0.2">
      <c r="A59" s="220">
        <v>6312</v>
      </c>
      <c r="B59" s="221" t="s">
        <v>3276</v>
      </c>
      <c r="C59" s="222">
        <v>48</v>
      </c>
      <c r="D59" s="223"/>
      <c r="E59" s="223"/>
      <c r="F59" s="229" t="str">
        <f t="shared" si="0"/>
        <v>-</v>
      </c>
    </row>
    <row r="60" spans="1:6" s="7" customFormat="1" x14ac:dyDescent="0.2">
      <c r="A60" s="220">
        <v>632</v>
      </c>
      <c r="B60" s="221" t="s">
        <v>3730</v>
      </c>
      <c r="C60" s="222">
        <v>49</v>
      </c>
      <c r="D60" s="230">
        <f>SUM(D61:D64)</f>
        <v>0</v>
      </c>
      <c r="E60" s="230">
        <f>SUM(E61:E64)</f>
        <v>0</v>
      </c>
      <c r="F60" s="231" t="str">
        <f t="shared" si="0"/>
        <v>-</v>
      </c>
    </row>
    <row r="61" spans="1:6" s="7" customFormat="1" x14ac:dyDescent="0.2">
      <c r="A61" s="220">
        <v>6321</v>
      </c>
      <c r="B61" s="221" t="s">
        <v>482</v>
      </c>
      <c r="C61" s="222">
        <v>50</v>
      </c>
      <c r="D61" s="223"/>
      <c r="E61" s="223"/>
      <c r="F61" s="229" t="str">
        <f t="shared" si="0"/>
        <v>-</v>
      </c>
    </row>
    <row r="62" spans="1:6" s="7" customFormat="1" x14ac:dyDescent="0.2">
      <c r="A62" s="220">
        <v>6322</v>
      </c>
      <c r="B62" s="221" t="s">
        <v>483</v>
      </c>
      <c r="C62" s="222">
        <v>51</v>
      </c>
      <c r="D62" s="223"/>
      <c r="E62" s="223"/>
      <c r="F62" s="229" t="str">
        <f t="shared" si="0"/>
        <v>-</v>
      </c>
    </row>
    <row r="63" spans="1:6" s="7" customFormat="1" x14ac:dyDescent="0.2">
      <c r="A63" s="220">
        <v>6323</v>
      </c>
      <c r="B63" s="221" t="s">
        <v>1428</v>
      </c>
      <c r="C63" s="222">
        <v>52</v>
      </c>
      <c r="D63" s="223"/>
      <c r="E63" s="223"/>
      <c r="F63" s="229" t="str">
        <f t="shared" si="0"/>
        <v>-</v>
      </c>
    </row>
    <row r="64" spans="1:6" s="7" customFormat="1" x14ac:dyDescent="0.2">
      <c r="A64" s="220">
        <v>6324</v>
      </c>
      <c r="B64" s="221" t="s">
        <v>1429</v>
      </c>
      <c r="C64" s="222">
        <v>53</v>
      </c>
      <c r="D64" s="223"/>
      <c r="E64" s="223"/>
      <c r="F64" s="229" t="str">
        <f t="shared" si="0"/>
        <v>-</v>
      </c>
    </row>
    <row r="65" spans="1:6" s="7" customFormat="1" x14ac:dyDescent="0.2">
      <c r="A65" s="220">
        <v>633</v>
      </c>
      <c r="B65" s="221" t="s">
        <v>3258</v>
      </c>
      <c r="C65" s="222">
        <v>54</v>
      </c>
      <c r="D65" s="230">
        <f>SUM(D66:D67)</f>
        <v>404439</v>
      </c>
      <c r="E65" s="230">
        <f>SUM(E66:E67)</f>
        <v>2342377</v>
      </c>
      <c r="F65" s="231">
        <f t="shared" si="0"/>
        <v>579.16694482975174</v>
      </c>
    </row>
    <row r="66" spans="1:6" s="7" customFormat="1" x14ac:dyDescent="0.2">
      <c r="A66" s="220">
        <v>6331</v>
      </c>
      <c r="B66" s="221" t="s">
        <v>3259</v>
      </c>
      <c r="C66" s="222">
        <v>55</v>
      </c>
      <c r="D66" s="223">
        <v>130814</v>
      </c>
      <c r="E66" s="223">
        <v>1922384</v>
      </c>
      <c r="F66" s="229">
        <f t="shared" si="0"/>
        <v>1469.5552463803569</v>
      </c>
    </row>
    <row r="67" spans="1:6" s="7" customFormat="1" x14ac:dyDescent="0.2">
      <c r="A67" s="220">
        <v>6332</v>
      </c>
      <c r="B67" s="221" t="s">
        <v>3260</v>
      </c>
      <c r="C67" s="222">
        <v>56</v>
      </c>
      <c r="D67" s="223">
        <v>273625</v>
      </c>
      <c r="E67" s="223">
        <v>419993</v>
      </c>
      <c r="F67" s="229">
        <f t="shared" si="0"/>
        <v>153.49218821379625</v>
      </c>
    </row>
    <row r="68" spans="1:6" s="7" customFormat="1" x14ac:dyDescent="0.2">
      <c r="A68" s="220">
        <v>634</v>
      </c>
      <c r="B68" s="221" t="s">
        <v>3731</v>
      </c>
      <c r="C68" s="222">
        <v>57</v>
      </c>
      <c r="D68" s="230">
        <f>SUM(D69:D70)</f>
        <v>28983</v>
      </c>
      <c r="E68" s="230">
        <f>SUM(E69:E70)</f>
        <v>29890</v>
      </c>
      <c r="F68" s="231">
        <f t="shared" si="0"/>
        <v>103.1294206948901</v>
      </c>
    </row>
    <row r="69" spans="1:6" s="7" customFormat="1" x14ac:dyDescent="0.2">
      <c r="A69" s="220">
        <v>6341</v>
      </c>
      <c r="B69" s="221" t="s">
        <v>128</v>
      </c>
      <c r="C69" s="222">
        <v>58</v>
      </c>
      <c r="D69" s="223">
        <v>28983</v>
      </c>
      <c r="E69" s="223">
        <v>29890</v>
      </c>
      <c r="F69" s="229">
        <f t="shared" si="0"/>
        <v>103.1294206948901</v>
      </c>
    </row>
    <row r="70" spans="1:6" s="7" customFormat="1" x14ac:dyDescent="0.2">
      <c r="A70" s="220">
        <v>6342</v>
      </c>
      <c r="B70" s="221" t="s">
        <v>1956</v>
      </c>
      <c r="C70" s="222">
        <v>59</v>
      </c>
      <c r="D70" s="223"/>
      <c r="E70" s="223"/>
      <c r="F70" s="229" t="str">
        <f t="shared" si="0"/>
        <v>-</v>
      </c>
    </row>
    <row r="71" spans="1:6" s="7" customFormat="1" x14ac:dyDescent="0.2">
      <c r="A71" s="220">
        <v>635</v>
      </c>
      <c r="B71" s="221" t="s">
        <v>3732</v>
      </c>
      <c r="C71" s="222">
        <v>60</v>
      </c>
      <c r="D71" s="230">
        <f>SUM(D72:D73)</f>
        <v>0</v>
      </c>
      <c r="E71" s="230">
        <f>SUM(E72:E73)</f>
        <v>0</v>
      </c>
      <c r="F71" s="231" t="str">
        <f t="shared" si="0"/>
        <v>-</v>
      </c>
    </row>
    <row r="72" spans="1:6" s="7" customFormat="1" x14ac:dyDescent="0.2">
      <c r="A72" s="220">
        <v>6351</v>
      </c>
      <c r="B72" s="221" t="s">
        <v>1940</v>
      </c>
      <c r="C72" s="222">
        <v>61</v>
      </c>
      <c r="D72" s="223"/>
      <c r="E72" s="223"/>
      <c r="F72" s="229" t="str">
        <f t="shared" si="0"/>
        <v>-</v>
      </c>
    </row>
    <row r="73" spans="1:6" s="7" customFormat="1" x14ac:dyDescent="0.2">
      <c r="A73" s="220">
        <v>6352</v>
      </c>
      <c r="B73" s="221" t="s">
        <v>1941</v>
      </c>
      <c r="C73" s="222">
        <v>62</v>
      </c>
      <c r="D73" s="223"/>
      <c r="E73" s="223"/>
      <c r="F73" s="229" t="str">
        <f t="shared" si="0"/>
        <v>-</v>
      </c>
    </row>
    <row r="74" spans="1:6" s="7" customFormat="1" x14ac:dyDescent="0.2">
      <c r="A74" s="220" t="s">
        <v>1957</v>
      </c>
      <c r="B74" s="221" t="s">
        <v>748</v>
      </c>
      <c r="C74" s="222">
        <v>63</v>
      </c>
      <c r="D74" s="230">
        <f>SUM(D75:D76)</f>
        <v>0</v>
      </c>
      <c r="E74" s="230">
        <f>SUM(E75:E76)</f>
        <v>0</v>
      </c>
      <c r="F74" s="231" t="str">
        <f t="shared" si="0"/>
        <v>-</v>
      </c>
    </row>
    <row r="75" spans="1:6" s="7" customFormat="1" x14ac:dyDescent="0.2">
      <c r="A75" s="220" t="s">
        <v>1958</v>
      </c>
      <c r="B75" s="221" t="s">
        <v>2413</v>
      </c>
      <c r="C75" s="222">
        <v>64</v>
      </c>
      <c r="D75" s="223"/>
      <c r="E75" s="223"/>
      <c r="F75" s="229" t="str">
        <f t="shared" si="0"/>
        <v>-</v>
      </c>
    </row>
    <row r="76" spans="1:6" s="7" customFormat="1" x14ac:dyDescent="0.2">
      <c r="A76" s="220" t="s">
        <v>2414</v>
      </c>
      <c r="B76" s="221" t="s">
        <v>2415</v>
      </c>
      <c r="C76" s="222">
        <v>65</v>
      </c>
      <c r="D76" s="223"/>
      <c r="E76" s="223"/>
      <c r="F76" s="229" t="str">
        <f t="shared" si="0"/>
        <v>-</v>
      </c>
    </row>
    <row r="77" spans="1:6" s="7" customFormat="1" x14ac:dyDescent="0.2">
      <c r="A77" s="220" t="s">
        <v>1047</v>
      </c>
      <c r="B77" s="221" t="s">
        <v>749</v>
      </c>
      <c r="C77" s="222">
        <v>66</v>
      </c>
      <c r="D77" s="230">
        <f>SUM(D78:D79)</f>
        <v>0</v>
      </c>
      <c r="E77" s="230">
        <f>SUM(E78:E79)</f>
        <v>0</v>
      </c>
      <c r="F77" s="229" t="str">
        <f t="shared" si="0"/>
        <v>-</v>
      </c>
    </row>
    <row r="78" spans="1:6" s="7" customFormat="1" x14ac:dyDescent="0.2">
      <c r="A78" s="220" t="s">
        <v>1048</v>
      </c>
      <c r="B78" s="221" t="s">
        <v>1050</v>
      </c>
      <c r="C78" s="222">
        <v>67</v>
      </c>
      <c r="D78" s="223"/>
      <c r="E78" s="223"/>
      <c r="F78" s="229" t="str">
        <f>IF(D78&lt;&gt;0,IF(E78/D78&gt;=100,"&gt;&gt;100",E78/D78*100),"-")</f>
        <v>-</v>
      </c>
    </row>
    <row r="79" spans="1:6" s="7" customFormat="1" x14ac:dyDescent="0.2">
      <c r="A79" s="220" t="s">
        <v>1049</v>
      </c>
      <c r="B79" s="221" t="s">
        <v>1051</v>
      </c>
      <c r="C79" s="222">
        <v>68</v>
      </c>
      <c r="D79" s="223"/>
      <c r="E79" s="223"/>
      <c r="F79" s="229" t="str">
        <f>IF(D79&lt;&gt;0,IF(E79/D79&gt;=100,"&gt;&gt;100",E79/D79*100),"-")</f>
        <v>-</v>
      </c>
    </row>
    <row r="80" spans="1:6" s="7" customFormat="1" x14ac:dyDescent="0.2">
      <c r="A80" s="220" t="s">
        <v>2416</v>
      </c>
      <c r="B80" s="221" t="s">
        <v>3261</v>
      </c>
      <c r="C80" s="222">
        <v>69</v>
      </c>
      <c r="D80" s="230">
        <f>SUM(D81:D82)</f>
        <v>2002953</v>
      </c>
      <c r="E80" s="230">
        <f>SUM(E81:E82)</f>
        <v>494616</v>
      </c>
      <c r="F80" s="231">
        <f t="shared" si="0"/>
        <v>24.694338808748885</v>
      </c>
    </row>
    <row r="81" spans="1:6" s="7" customFormat="1" x14ac:dyDescent="0.2">
      <c r="A81" s="220" t="s">
        <v>2417</v>
      </c>
      <c r="B81" s="221" t="s">
        <v>3733</v>
      </c>
      <c r="C81" s="222">
        <v>70</v>
      </c>
      <c r="D81" s="223"/>
      <c r="E81" s="223"/>
      <c r="F81" s="229" t="str">
        <f t="shared" ref="F81:F139" si="1">IF(D81&lt;&gt;0,IF(E81/D81&gt;=100,"&gt;&gt;100",E81/D81*100),"-")</f>
        <v>-</v>
      </c>
    </row>
    <row r="82" spans="1:6" s="7" customFormat="1" x14ac:dyDescent="0.2">
      <c r="A82" s="220" t="s">
        <v>2418</v>
      </c>
      <c r="B82" s="221" t="s">
        <v>3734</v>
      </c>
      <c r="C82" s="222">
        <v>71</v>
      </c>
      <c r="D82" s="223">
        <v>2002953</v>
      </c>
      <c r="E82" s="223">
        <v>494616</v>
      </c>
      <c r="F82" s="229">
        <f t="shared" si="1"/>
        <v>24.694338808748885</v>
      </c>
    </row>
    <row r="83" spans="1:6" s="7" customFormat="1" x14ac:dyDescent="0.2">
      <c r="A83" s="220" t="s">
        <v>3735</v>
      </c>
      <c r="B83" s="221" t="s">
        <v>2480</v>
      </c>
      <c r="C83" s="222">
        <v>72</v>
      </c>
      <c r="D83" s="230">
        <f>SUM(D84:D87)</f>
        <v>0</v>
      </c>
      <c r="E83" s="230">
        <f>SUM(E84:E87)</f>
        <v>0</v>
      </c>
      <c r="F83" s="231" t="str">
        <f t="shared" si="1"/>
        <v>-</v>
      </c>
    </row>
    <row r="84" spans="1:6" s="7" customFormat="1" x14ac:dyDescent="0.2">
      <c r="A84" s="220">
        <v>6391</v>
      </c>
      <c r="B84" s="221" t="s">
        <v>3736</v>
      </c>
      <c r="C84" s="222">
        <v>73</v>
      </c>
      <c r="D84" s="223"/>
      <c r="E84" s="223"/>
      <c r="F84" s="229" t="str">
        <f t="shared" si="1"/>
        <v>-</v>
      </c>
    </row>
    <row r="85" spans="1:6" s="7" customFormat="1" x14ac:dyDescent="0.2">
      <c r="A85" s="220">
        <v>6392</v>
      </c>
      <c r="B85" s="221" t="s">
        <v>3737</v>
      </c>
      <c r="C85" s="222">
        <v>74</v>
      </c>
      <c r="D85" s="223"/>
      <c r="E85" s="223"/>
      <c r="F85" s="229" t="str">
        <f t="shared" si="1"/>
        <v>-</v>
      </c>
    </row>
    <row r="86" spans="1:6" s="7" customFormat="1" ht="24" x14ac:dyDescent="0.2">
      <c r="A86" s="220">
        <v>6393</v>
      </c>
      <c r="B86" s="221" t="s">
        <v>2005</v>
      </c>
      <c r="C86" s="222">
        <v>75</v>
      </c>
      <c r="D86" s="223"/>
      <c r="E86" s="223"/>
      <c r="F86" s="229" t="str">
        <f t="shared" si="1"/>
        <v>-</v>
      </c>
    </row>
    <row r="87" spans="1:6" s="7" customFormat="1" ht="24" x14ac:dyDescent="0.2">
      <c r="A87" s="220">
        <v>6394</v>
      </c>
      <c r="B87" s="221" t="s">
        <v>2006</v>
      </c>
      <c r="C87" s="222">
        <v>76</v>
      </c>
      <c r="D87" s="223"/>
      <c r="E87" s="223"/>
      <c r="F87" s="229" t="str">
        <f t="shared" si="1"/>
        <v>-</v>
      </c>
    </row>
    <row r="88" spans="1:6" s="7" customFormat="1" x14ac:dyDescent="0.2">
      <c r="A88" s="220">
        <v>64</v>
      </c>
      <c r="B88" s="221" t="s">
        <v>2481</v>
      </c>
      <c r="C88" s="222">
        <v>77</v>
      </c>
      <c r="D88" s="230">
        <f>D89+D97+D104</f>
        <v>543706</v>
      </c>
      <c r="E88" s="230">
        <f>E89+E97+E104</f>
        <v>989389</v>
      </c>
      <c r="F88" s="231">
        <f t="shared" si="1"/>
        <v>181.97132273692031</v>
      </c>
    </row>
    <row r="89" spans="1:6" s="7" customFormat="1" x14ac:dyDescent="0.2">
      <c r="A89" s="220">
        <v>641</v>
      </c>
      <c r="B89" s="221" t="s">
        <v>2482</v>
      </c>
      <c r="C89" s="222">
        <v>78</v>
      </c>
      <c r="D89" s="230">
        <f>SUM(D90:D96)</f>
        <v>13</v>
      </c>
      <c r="E89" s="230">
        <f>SUM(E90:E96)</f>
        <v>7014</v>
      </c>
      <c r="F89" s="231" t="str">
        <f t="shared" si="1"/>
        <v>&gt;&gt;100</v>
      </c>
    </row>
    <row r="90" spans="1:6" s="7" customFormat="1" x14ac:dyDescent="0.2">
      <c r="A90" s="220">
        <v>6412</v>
      </c>
      <c r="B90" s="221" t="s">
        <v>1779</v>
      </c>
      <c r="C90" s="222">
        <v>79</v>
      </c>
      <c r="D90" s="223"/>
      <c r="E90" s="223"/>
      <c r="F90" s="229" t="str">
        <f t="shared" si="1"/>
        <v>-</v>
      </c>
    </row>
    <row r="91" spans="1:6" s="7" customFormat="1" x14ac:dyDescent="0.2">
      <c r="A91" s="220">
        <v>6413</v>
      </c>
      <c r="B91" s="221" t="s">
        <v>515</v>
      </c>
      <c r="C91" s="222">
        <v>80</v>
      </c>
      <c r="D91" s="223">
        <v>13</v>
      </c>
      <c r="E91" s="223">
        <v>19</v>
      </c>
      <c r="F91" s="229">
        <f t="shared" si="1"/>
        <v>146.15384615384613</v>
      </c>
    </row>
    <row r="92" spans="1:6" s="7" customFormat="1" x14ac:dyDescent="0.2">
      <c r="A92" s="220">
        <v>6414</v>
      </c>
      <c r="B92" s="221" t="s">
        <v>516</v>
      </c>
      <c r="C92" s="222">
        <v>81</v>
      </c>
      <c r="D92" s="223"/>
      <c r="E92" s="223"/>
      <c r="F92" s="229" t="str">
        <f t="shared" si="1"/>
        <v>-</v>
      </c>
    </row>
    <row r="93" spans="1:6" s="7" customFormat="1" x14ac:dyDescent="0.2">
      <c r="A93" s="220">
        <v>6415</v>
      </c>
      <c r="B93" s="221" t="s">
        <v>2912</v>
      </c>
      <c r="C93" s="222">
        <v>82</v>
      </c>
      <c r="D93" s="223"/>
      <c r="E93" s="223"/>
      <c r="F93" s="229" t="str">
        <f t="shared" si="1"/>
        <v>-</v>
      </c>
    </row>
    <row r="94" spans="1:6" s="7" customFormat="1" x14ac:dyDescent="0.2">
      <c r="A94" s="220">
        <v>6416</v>
      </c>
      <c r="B94" s="221" t="s">
        <v>517</v>
      </c>
      <c r="C94" s="222">
        <v>83</v>
      </c>
      <c r="D94" s="223"/>
      <c r="E94" s="223"/>
      <c r="F94" s="229" t="str">
        <f t="shared" si="1"/>
        <v>-</v>
      </c>
    </row>
    <row r="95" spans="1:6" s="7" customFormat="1" ht="24" x14ac:dyDescent="0.2">
      <c r="A95" s="220">
        <v>6417</v>
      </c>
      <c r="B95" s="221" t="s">
        <v>2913</v>
      </c>
      <c r="C95" s="222">
        <v>84</v>
      </c>
      <c r="D95" s="223"/>
      <c r="E95" s="223"/>
      <c r="F95" s="229" t="str">
        <f t="shared" si="1"/>
        <v>-</v>
      </c>
    </row>
    <row r="96" spans="1:6" s="7" customFormat="1" x14ac:dyDescent="0.2">
      <c r="A96" s="220">
        <v>6419</v>
      </c>
      <c r="B96" s="221" t="s">
        <v>129</v>
      </c>
      <c r="C96" s="222">
        <v>85</v>
      </c>
      <c r="D96" s="223"/>
      <c r="E96" s="223">
        <v>6995</v>
      </c>
      <c r="F96" s="229" t="str">
        <f t="shared" si="1"/>
        <v>-</v>
      </c>
    </row>
    <row r="97" spans="1:6" s="7" customFormat="1" x14ac:dyDescent="0.2">
      <c r="A97" s="220">
        <v>642</v>
      </c>
      <c r="B97" s="221" t="s">
        <v>2483</v>
      </c>
      <c r="C97" s="222">
        <v>86</v>
      </c>
      <c r="D97" s="230">
        <f>SUM(D98:D103)</f>
        <v>543693</v>
      </c>
      <c r="E97" s="230">
        <f>SUM(E98:E103)</f>
        <v>982375</v>
      </c>
      <c r="F97" s="231">
        <f t="shared" si="1"/>
        <v>180.6856075027635</v>
      </c>
    </row>
    <row r="98" spans="1:6" s="7" customFormat="1" x14ac:dyDescent="0.2">
      <c r="A98" s="220">
        <v>6421</v>
      </c>
      <c r="B98" s="221" t="s">
        <v>130</v>
      </c>
      <c r="C98" s="222">
        <v>87</v>
      </c>
      <c r="D98" s="223">
        <v>9563</v>
      </c>
      <c r="E98" s="223"/>
      <c r="F98" s="229">
        <f t="shared" si="1"/>
        <v>0</v>
      </c>
    </row>
    <row r="99" spans="1:6" s="7" customFormat="1" x14ac:dyDescent="0.2">
      <c r="A99" s="220">
        <v>6422</v>
      </c>
      <c r="B99" s="221" t="s">
        <v>1478</v>
      </c>
      <c r="C99" s="222">
        <v>88</v>
      </c>
      <c r="D99" s="223">
        <v>54756</v>
      </c>
      <c r="E99" s="223">
        <v>54857</v>
      </c>
      <c r="F99" s="229">
        <f t="shared" si="1"/>
        <v>100.18445467163414</v>
      </c>
    </row>
    <row r="100" spans="1:6" s="7" customFormat="1" x14ac:dyDescent="0.2">
      <c r="A100" s="220">
        <v>6423</v>
      </c>
      <c r="B100" s="221" t="s">
        <v>2914</v>
      </c>
      <c r="C100" s="222">
        <v>89</v>
      </c>
      <c r="D100" s="223">
        <v>471388</v>
      </c>
      <c r="E100" s="223">
        <v>926820</v>
      </c>
      <c r="F100" s="229">
        <f t="shared" si="1"/>
        <v>196.61510263307508</v>
      </c>
    </row>
    <row r="101" spans="1:6" s="7" customFormat="1" x14ac:dyDescent="0.2">
      <c r="A101" s="220">
        <v>6424</v>
      </c>
      <c r="B101" s="221" t="s">
        <v>1480</v>
      </c>
      <c r="C101" s="222">
        <v>90</v>
      </c>
      <c r="D101" s="223"/>
      <c r="E101" s="223"/>
      <c r="F101" s="229" t="str">
        <f t="shared" si="1"/>
        <v>-</v>
      </c>
    </row>
    <row r="102" spans="1:6" s="7" customFormat="1" x14ac:dyDescent="0.2">
      <c r="A102" s="220" t="s">
        <v>2419</v>
      </c>
      <c r="B102" s="221" t="s">
        <v>2420</v>
      </c>
      <c r="C102" s="222">
        <v>91</v>
      </c>
      <c r="D102" s="223"/>
      <c r="E102" s="223"/>
      <c r="F102" s="229" t="str">
        <f t="shared" si="1"/>
        <v>-</v>
      </c>
    </row>
    <row r="103" spans="1:6" s="7" customFormat="1" x14ac:dyDescent="0.2">
      <c r="A103" s="220">
        <v>6429</v>
      </c>
      <c r="B103" s="221" t="s">
        <v>1479</v>
      </c>
      <c r="C103" s="222">
        <v>92</v>
      </c>
      <c r="D103" s="223">
        <v>7986</v>
      </c>
      <c r="E103" s="223">
        <v>698</v>
      </c>
      <c r="F103" s="229">
        <f t="shared" si="1"/>
        <v>8.7402955171550207</v>
      </c>
    </row>
    <row r="104" spans="1:6" s="7" customFormat="1" x14ac:dyDescent="0.2">
      <c r="A104" s="220">
        <v>643</v>
      </c>
      <c r="B104" s="221" t="s">
        <v>2484</v>
      </c>
      <c r="C104" s="222">
        <v>93</v>
      </c>
      <c r="D104" s="230">
        <f>SUM(D105:D111)</f>
        <v>0</v>
      </c>
      <c r="E104" s="230">
        <f>SUM(E105:E111)</f>
        <v>0</v>
      </c>
      <c r="F104" s="231" t="str">
        <f t="shared" si="1"/>
        <v>-</v>
      </c>
    </row>
    <row r="105" spans="1:6" s="7" customFormat="1" ht="24" x14ac:dyDescent="0.2">
      <c r="A105" s="220">
        <v>6431</v>
      </c>
      <c r="B105" s="221" t="s">
        <v>1694</v>
      </c>
      <c r="C105" s="222">
        <v>94</v>
      </c>
      <c r="D105" s="223"/>
      <c r="E105" s="223"/>
      <c r="F105" s="229" t="str">
        <f t="shared" si="1"/>
        <v>-</v>
      </c>
    </row>
    <row r="106" spans="1:6" s="7" customFormat="1" ht="15" customHeight="1" x14ac:dyDescent="0.2">
      <c r="A106" s="220">
        <v>6432</v>
      </c>
      <c r="B106" s="361" t="s">
        <v>1875</v>
      </c>
      <c r="C106" s="222">
        <v>95</v>
      </c>
      <c r="D106" s="223"/>
      <c r="E106" s="223"/>
      <c r="F106" s="229" t="str">
        <f t="shared" si="1"/>
        <v>-</v>
      </c>
    </row>
    <row r="107" spans="1:6" s="7" customFormat="1" ht="24" x14ac:dyDescent="0.2">
      <c r="A107" s="220">
        <v>6433</v>
      </c>
      <c r="B107" s="221" t="s">
        <v>1876</v>
      </c>
      <c r="C107" s="222">
        <v>96</v>
      </c>
      <c r="D107" s="223"/>
      <c r="E107" s="223"/>
      <c r="F107" s="229" t="str">
        <f t="shared" si="1"/>
        <v>-</v>
      </c>
    </row>
    <row r="108" spans="1:6" s="7" customFormat="1" x14ac:dyDescent="0.2">
      <c r="A108" s="220">
        <v>6434</v>
      </c>
      <c r="B108" s="221" t="s">
        <v>1877</v>
      </c>
      <c r="C108" s="222">
        <v>97</v>
      </c>
      <c r="D108" s="223"/>
      <c r="E108" s="223"/>
      <c r="F108" s="229" t="str">
        <f t="shared" si="1"/>
        <v>-</v>
      </c>
    </row>
    <row r="109" spans="1:6" s="7" customFormat="1" ht="24" x14ac:dyDescent="0.2">
      <c r="A109" s="220">
        <v>6435</v>
      </c>
      <c r="B109" s="221" t="s">
        <v>1899</v>
      </c>
      <c r="C109" s="222">
        <v>98</v>
      </c>
      <c r="D109" s="223"/>
      <c r="E109" s="223"/>
      <c r="F109" s="229" t="str">
        <f t="shared" si="1"/>
        <v>-</v>
      </c>
    </row>
    <row r="110" spans="1:6" s="7" customFormat="1" x14ac:dyDescent="0.2">
      <c r="A110" s="220">
        <v>6436</v>
      </c>
      <c r="B110" s="362" t="s">
        <v>1900</v>
      </c>
      <c r="C110" s="222">
        <v>99</v>
      </c>
      <c r="D110" s="223"/>
      <c r="E110" s="223"/>
      <c r="F110" s="229" t="str">
        <f t="shared" si="1"/>
        <v>-</v>
      </c>
    </row>
    <row r="111" spans="1:6" s="7" customFormat="1" x14ac:dyDescent="0.2">
      <c r="A111" s="220">
        <v>6437</v>
      </c>
      <c r="B111" s="221" t="s">
        <v>1223</v>
      </c>
      <c r="C111" s="222">
        <v>100</v>
      </c>
      <c r="D111" s="223"/>
      <c r="E111" s="223"/>
      <c r="F111" s="229" t="str">
        <f t="shared" si="1"/>
        <v>-</v>
      </c>
    </row>
    <row r="112" spans="1:6" s="7" customFormat="1" ht="24" x14ac:dyDescent="0.2">
      <c r="A112" s="220">
        <v>65</v>
      </c>
      <c r="B112" s="221" t="s">
        <v>3738</v>
      </c>
      <c r="C112" s="222">
        <v>101</v>
      </c>
      <c r="D112" s="230">
        <f>D113+D118+D126</f>
        <v>533537</v>
      </c>
      <c r="E112" s="230">
        <f>E113+E118+E126</f>
        <v>498497</v>
      </c>
      <c r="F112" s="231">
        <f t="shared" si="1"/>
        <v>93.432507961022381</v>
      </c>
    </row>
    <row r="113" spans="1:6" s="7" customFormat="1" x14ac:dyDescent="0.2">
      <c r="A113" s="220">
        <v>651</v>
      </c>
      <c r="B113" s="221" t="s">
        <v>2485</v>
      </c>
      <c r="C113" s="222">
        <v>102</v>
      </c>
      <c r="D113" s="230">
        <f>SUM(D114:D117)</f>
        <v>84952</v>
      </c>
      <c r="E113" s="230">
        <f>SUM(E114:E117)</f>
        <v>60388</v>
      </c>
      <c r="F113" s="231">
        <f t="shared" si="1"/>
        <v>71.08484791411621</v>
      </c>
    </row>
    <row r="114" spans="1:6" s="7" customFormat="1" x14ac:dyDescent="0.2">
      <c r="A114" s="220">
        <v>6511</v>
      </c>
      <c r="B114" s="221" t="s">
        <v>2200</v>
      </c>
      <c r="C114" s="222">
        <v>103</v>
      </c>
      <c r="D114" s="223"/>
      <c r="E114" s="223">
        <v>200</v>
      </c>
      <c r="F114" s="229" t="str">
        <f t="shared" si="1"/>
        <v>-</v>
      </c>
    </row>
    <row r="115" spans="1:6" s="7" customFormat="1" x14ac:dyDescent="0.2">
      <c r="A115" s="220">
        <v>6512</v>
      </c>
      <c r="B115" s="221" t="s">
        <v>805</v>
      </c>
      <c r="C115" s="222">
        <v>104</v>
      </c>
      <c r="D115" s="223">
        <v>84946</v>
      </c>
      <c r="E115" s="223">
        <v>60150</v>
      </c>
      <c r="F115" s="229">
        <f t="shared" si="1"/>
        <v>70.809690862430259</v>
      </c>
    </row>
    <row r="116" spans="1:6" s="7" customFormat="1" x14ac:dyDescent="0.2">
      <c r="A116" s="220">
        <v>6513</v>
      </c>
      <c r="B116" s="221" t="s">
        <v>1224</v>
      </c>
      <c r="C116" s="222">
        <v>105</v>
      </c>
      <c r="D116" s="223">
        <v>6</v>
      </c>
      <c r="E116" s="223">
        <v>38</v>
      </c>
      <c r="F116" s="229">
        <f t="shared" si="1"/>
        <v>633.33333333333326</v>
      </c>
    </row>
    <row r="117" spans="1:6" s="7" customFormat="1" x14ac:dyDescent="0.2">
      <c r="A117" s="220">
        <v>6514</v>
      </c>
      <c r="B117" s="221" t="s">
        <v>2112</v>
      </c>
      <c r="C117" s="222">
        <v>106</v>
      </c>
      <c r="D117" s="223"/>
      <c r="E117" s="223"/>
      <c r="F117" s="229" t="str">
        <f t="shared" si="1"/>
        <v>-</v>
      </c>
    </row>
    <row r="118" spans="1:6" s="7" customFormat="1" x14ac:dyDescent="0.2">
      <c r="A118" s="220">
        <v>652</v>
      </c>
      <c r="B118" s="221" t="s">
        <v>2486</v>
      </c>
      <c r="C118" s="222">
        <v>107</v>
      </c>
      <c r="D118" s="230">
        <f>SUM(D119:D125)</f>
        <v>369108</v>
      </c>
      <c r="E118" s="230">
        <f>SUM(E119:E125)</f>
        <v>348359</v>
      </c>
      <c r="F118" s="231">
        <f t="shared" si="1"/>
        <v>94.378610054509792</v>
      </c>
    </row>
    <row r="119" spans="1:6" s="7" customFormat="1" x14ac:dyDescent="0.2">
      <c r="A119" s="220">
        <v>6521</v>
      </c>
      <c r="B119" s="221" t="s">
        <v>806</v>
      </c>
      <c r="C119" s="222">
        <v>108</v>
      </c>
      <c r="D119" s="223"/>
      <c r="E119" s="223"/>
      <c r="F119" s="229" t="str">
        <f t="shared" si="1"/>
        <v>-</v>
      </c>
    </row>
    <row r="120" spans="1:6" s="7" customFormat="1" x14ac:dyDescent="0.2">
      <c r="A120" s="220">
        <v>6522</v>
      </c>
      <c r="B120" s="221" t="s">
        <v>2113</v>
      </c>
      <c r="C120" s="222">
        <v>109</v>
      </c>
      <c r="D120" s="223">
        <v>706</v>
      </c>
      <c r="E120" s="223">
        <v>931</v>
      </c>
      <c r="F120" s="229">
        <f t="shared" si="1"/>
        <v>131.86968838526911</v>
      </c>
    </row>
    <row r="121" spans="1:6" s="7" customFormat="1" x14ac:dyDescent="0.2">
      <c r="A121" s="220">
        <v>6524</v>
      </c>
      <c r="B121" s="221" t="s">
        <v>1510</v>
      </c>
      <c r="C121" s="222">
        <v>110</v>
      </c>
      <c r="D121" s="223">
        <v>344402</v>
      </c>
      <c r="E121" s="223">
        <v>345996</v>
      </c>
      <c r="F121" s="229">
        <f t="shared" si="1"/>
        <v>100.46283122629951</v>
      </c>
    </row>
    <row r="122" spans="1:6" s="7" customFormat="1" x14ac:dyDescent="0.2">
      <c r="A122" s="220">
        <v>6525</v>
      </c>
      <c r="B122" s="221" t="s">
        <v>3927</v>
      </c>
      <c r="C122" s="222">
        <v>111</v>
      </c>
      <c r="D122" s="223"/>
      <c r="E122" s="223"/>
      <c r="F122" s="229" t="str">
        <f t="shared" si="1"/>
        <v>-</v>
      </c>
    </row>
    <row r="123" spans="1:6" s="7" customFormat="1" x14ac:dyDescent="0.2">
      <c r="A123" s="220">
        <v>6526</v>
      </c>
      <c r="B123" s="221" t="s">
        <v>3928</v>
      </c>
      <c r="C123" s="222">
        <v>112</v>
      </c>
      <c r="D123" s="223">
        <v>24000</v>
      </c>
      <c r="E123" s="223">
        <v>1432</v>
      </c>
      <c r="F123" s="229">
        <f t="shared" si="1"/>
        <v>5.9666666666666668</v>
      </c>
    </row>
    <row r="124" spans="1:6" s="7" customFormat="1" x14ac:dyDescent="0.2">
      <c r="A124" s="220">
        <v>6527</v>
      </c>
      <c r="B124" s="221" t="s">
        <v>2114</v>
      </c>
      <c r="C124" s="222">
        <v>113</v>
      </c>
      <c r="D124" s="223"/>
      <c r="E124" s="223"/>
      <c r="F124" s="229" t="str">
        <f t="shared" si="1"/>
        <v>-</v>
      </c>
    </row>
    <row r="125" spans="1:6" s="7" customFormat="1" x14ac:dyDescent="0.2">
      <c r="A125" s="220" t="s">
        <v>2845</v>
      </c>
      <c r="B125" s="221" t="s">
        <v>2846</v>
      </c>
      <c r="C125" s="222">
        <v>114</v>
      </c>
      <c r="D125" s="223"/>
      <c r="E125" s="223"/>
      <c r="F125" s="229" t="str">
        <f t="shared" si="1"/>
        <v>-</v>
      </c>
    </row>
    <row r="126" spans="1:6" s="7" customFormat="1" x14ac:dyDescent="0.2">
      <c r="A126" s="220">
        <v>653</v>
      </c>
      <c r="B126" s="221" t="s">
        <v>2487</v>
      </c>
      <c r="C126" s="222">
        <v>115</v>
      </c>
      <c r="D126" s="230">
        <f>SUM(D127:D129)</f>
        <v>79477</v>
      </c>
      <c r="E126" s="230">
        <f>SUM(E127:E129)</f>
        <v>89750</v>
      </c>
      <c r="F126" s="231">
        <f t="shared" si="1"/>
        <v>112.92575210438241</v>
      </c>
    </row>
    <row r="127" spans="1:6" s="7" customFormat="1" x14ac:dyDescent="0.2">
      <c r="A127" s="220">
        <v>6531</v>
      </c>
      <c r="B127" s="221" t="s">
        <v>2115</v>
      </c>
      <c r="C127" s="222">
        <v>116</v>
      </c>
      <c r="D127" s="223">
        <v>1834</v>
      </c>
      <c r="E127" s="223">
        <v>7714</v>
      </c>
      <c r="F127" s="229">
        <f t="shared" si="1"/>
        <v>420.61068702290072</v>
      </c>
    </row>
    <row r="128" spans="1:6" s="7" customFormat="1" x14ac:dyDescent="0.2">
      <c r="A128" s="220">
        <v>6532</v>
      </c>
      <c r="B128" s="221" t="s">
        <v>2116</v>
      </c>
      <c r="C128" s="222">
        <v>117</v>
      </c>
      <c r="D128" s="223">
        <v>77643</v>
      </c>
      <c r="E128" s="223">
        <v>82036</v>
      </c>
      <c r="F128" s="229">
        <f t="shared" si="1"/>
        <v>105.65794727148617</v>
      </c>
    </row>
    <row r="129" spans="1:6" s="7" customFormat="1" x14ac:dyDescent="0.2">
      <c r="A129" s="220">
        <v>6533</v>
      </c>
      <c r="B129" s="221" t="s">
        <v>2117</v>
      </c>
      <c r="C129" s="222">
        <v>118</v>
      </c>
      <c r="D129" s="223"/>
      <c r="E129" s="223"/>
      <c r="F129" s="229" t="str">
        <f t="shared" si="1"/>
        <v>-</v>
      </c>
    </row>
    <row r="130" spans="1:6" s="7" customFormat="1" ht="24" x14ac:dyDescent="0.2">
      <c r="A130" s="220">
        <v>66</v>
      </c>
      <c r="B130" s="221" t="s">
        <v>2488</v>
      </c>
      <c r="C130" s="222">
        <v>119</v>
      </c>
      <c r="D130" s="230">
        <f>D131+D134</f>
        <v>600</v>
      </c>
      <c r="E130" s="230">
        <f>E131+E134</f>
        <v>25560</v>
      </c>
      <c r="F130" s="231">
        <f t="shared" si="1"/>
        <v>4260</v>
      </c>
    </row>
    <row r="131" spans="1:6" s="7" customFormat="1" x14ac:dyDescent="0.2">
      <c r="A131" s="220">
        <v>661</v>
      </c>
      <c r="B131" s="221" t="s">
        <v>2489</v>
      </c>
      <c r="C131" s="222">
        <v>120</v>
      </c>
      <c r="D131" s="230">
        <f>SUM(D132:D133)</f>
        <v>600</v>
      </c>
      <c r="E131" s="230">
        <f>SUM(E132:E133)</f>
        <v>560</v>
      </c>
      <c r="F131" s="231">
        <f t="shared" si="1"/>
        <v>93.333333333333329</v>
      </c>
    </row>
    <row r="132" spans="1:6" s="7" customFormat="1" x14ac:dyDescent="0.2">
      <c r="A132" s="220">
        <v>6614</v>
      </c>
      <c r="B132" s="221" t="s">
        <v>2118</v>
      </c>
      <c r="C132" s="222">
        <v>121</v>
      </c>
      <c r="D132" s="223"/>
      <c r="E132" s="223"/>
      <c r="F132" s="229" t="str">
        <f t="shared" si="1"/>
        <v>-</v>
      </c>
    </row>
    <row r="133" spans="1:6" s="7" customFormat="1" x14ac:dyDescent="0.2">
      <c r="A133" s="220">
        <v>6615</v>
      </c>
      <c r="B133" s="221" t="s">
        <v>2119</v>
      </c>
      <c r="C133" s="222">
        <v>122</v>
      </c>
      <c r="D133" s="223">
        <v>600</v>
      </c>
      <c r="E133" s="223">
        <v>560</v>
      </c>
      <c r="F133" s="229">
        <f t="shared" si="1"/>
        <v>93.333333333333329</v>
      </c>
    </row>
    <row r="134" spans="1:6" s="7" customFormat="1" ht="24" x14ac:dyDescent="0.2">
      <c r="A134" s="220">
        <v>663</v>
      </c>
      <c r="B134" s="221" t="s">
        <v>2490</v>
      </c>
      <c r="C134" s="222">
        <v>123</v>
      </c>
      <c r="D134" s="230">
        <f>SUM(D135:D138)</f>
        <v>0</v>
      </c>
      <c r="E134" s="230">
        <f>SUM(E135:E138)</f>
        <v>25000</v>
      </c>
      <c r="F134" s="231" t="str">
        <f t="shared" si="1"/>
        <v>-</v>
      </c>
    </row>
    <row r="135" spans="1:6" s="7" customFormat="1" x14ac:dyDescent="0.2">
      <c r="A135" s="220">
        <v>6631</v>
      </c>
      <c r="B135" s="221" t="s">
        <v>3933</v>
      </c>
      <c r="C135" s="222">
        <v>124</v>
      </c>
      <c r="D135" s="223"/>
      <c r="E135" s="223"/>
      <c r="F135" s="229" t="str">
        <f t="shared" si="1"/>
        <v>-</v>
      </c>
    </row>
    <row r="136" spans="1:6" s="7" customFormat="1" x14ac:dyDescent="0.2">
      <c r="A136" s="220">
        <v>6632</v>
      </c>
      <c r="B136" s="221" t="s">
        <v>3934</v>
      </c>
      <c r="C136" s="222">
        <v>125</v>
      </c>
      <c r="D136" s="223"/>
      <c r="E136" s="223">
        <v>25000</v>
      </c>
      <c r="F136" s="229" t="str">
        <f t="shared" si="1"/>
        <v>-</v>
      </c>
    </row>
    <row r="137" spans="1:6" s="7" customFormat="1" ht="24" x14ac:dyDescent="0.2">
      <c r="A137" s="220" t="s">
        <v>1052</v>
      </c>
      <c r="B137" s="221" t="s">
        <v>1053</v>
      </c>
      <c r="C137" s="222">
        <v>126</v>
      </c>
      <c r="D137" s="223"/>
      <c r="E137" s="223"/>
      <c r="F137" s="229" t="str">
        <f>IF(D137&lt;&gt;0,IF(E137/D137&gt;=100,"&gt;&gt;100",E137/D137*100),"-")</f>
        <v>-</v>
      </c>
    </row>
    <row r="138" spans="1:6" s="7" customFormat="1" ht="24" x14ac:dyDescent="0.2">
      <c r="A138" s="220" t="s">
        <v>1054</v>
      </c>
      <c r="B138" s="221" t="s">
        <v>1055</v>
      </c>
      <c r="C138" s="222">
        <v>127</v>
      </c>
      <c r="D138" s="223"/>
      <c r="E138" s="223"/>
      <c r="F138" s="229" t="str">
        <f>IF(D138&lt;&gt;0,IF(E138/D138&gt;=100,"&gt;&gt;100",E138/D138*100),"-")</f>
        <v>-</v>
      </c>
    </row>
    <row r="139" spans="1:6" s="7" customFormat="1" x14ac:dyDescent="0.2">
      <c r="A139" s="220">
        <v>67</v>
      </c>
      <c r="B139" s="362" t="s">
        <v>2491</v>
      </c>
      <c r="C139" s="222">
        <v>128</v>
      </c>
      <c r="D139" s="230">
        <f>D140+D144</f>
        <v>0</v>
      </c>
      <c r="E139" s="230">
        <f>E140+E144</f>
        <v>0</v>
      </c>
      <c r="F139" s="231" t="str">
        <f t="shared" si="1"/>
        <v>-</v>
      </c>
    </row>
    <row r="140" spans="1:6" s="7" customFormat="1" ht="24" x14ac:dyDescent="0.2">
      <c r="A140" s="220">
        <v>671</v>
      </c>
      <c r="B140" s="221" t="s">
        <v>3739</v>
      </c>
      <c r="C140" s="222">
        <v>129</v>
      </c>
      <c r="D140" s="230">
        <f>SUM(D141:D143)</f>
        <v>0</v>
      </c>
      <c r="E140" s="230">
        <f>SUM(E141:E143)</f>
        <v>0</v>
      </c>
      <c r="F140" s="231" t="str">
        <f t="shared" ref="F140:F203" si="2">IF(D140&lt;&gt;0,IF(E140/D140&gt;=100,"&gt;&gt;100",E140/D140*100),"-")</f>
        <v>-</v>
      </c>
    </row>
    <row r="141" spans="1:6" s="7" customFormat="1" x14ac:dyDescent="0.2">
      <c r="A141" s="220">
        <v>6711</v>
      </c>
      <c r="B141" s="221" t="s">
        <v>99</v>
      </c>
      <c r="C141" s="222">
        <v>130</v>
      </c>
      <c r="D141" s="223"/>
      <c r="E141" s="223"/>
      <c r="F141" s="229" t="str">
        <f t="shared" si="2"/>
        <v>-</v>
      </c>
    </row>
    <row r="142" spans="1:6" s="7" customFormat="1" x14ac:dyDescent="0.2">
      <c r="A142" s="220">
        <v>6712</v>
      </c>
      <c r="B142" s="362" t="s">
        <v>2284</v>
      </c>
      <c r="C142" s="222">
        <v>131</v>
      </c>
      <c r="D142" s="223"/>
      <c r="E142" s="223"/>
      <c r="F142" s="229" t="str">
        <f t="shared" si="2"/>
        <v>-</v>
      </c>
    </row>
    <row r="143" spans="1:6" s="7" customFormat="1" ht="24" x14ac:dyDescent="0.2">
      <c r="A143" s="220" t="s">
        <v>2285</v>
      </c>
      <c r="B143" s="221" t="s">
        <v>2286</v>
      </c>
      <c r="C143" s="222">
        <v>132</v>
      </c>
      <c r="D143" s="223"/>
      <c r="E143" s="223"/>
      <c r="F143" s="229" t="str">
        <f t="shared" si="2"/>
        <v>-</v>
      </c>
    </row>
    <row r="144" spans="1:6" s="7" customFormat="1" x14ac:dyDescent="0.2">
      <c r="A144" s="220" t="s">
        <v>2287</v>
      </c>
      <c r="B144" s="221" t="s">
        <v>382</v>
      </c>
      <c r="C144" s="222">
        <v>133</v>
      </c>
      <c r="D144" s="223"/>
      <c r="E144" s="223"/>
      <c r="F144" s="229" t="str">
        <f t="shared" si="2"/>
        <v>-</v>
      </c>
    </row>
    <row r="145" spans="1:6" s="7" customFormat="1" x14ac:dyDescent="0.2">
      <c r="A145" s="220">
        <v>68</v>
      </c>
      <c r="B145" s="221" t="s">
        <v>2492</v>
      </c>
      <c r="C145" s="222">
        <v>134</v>
      </c>
      <c r="D145" s="230">
        <f>D146+D156</f>
        <v>0</v>
      </c>
      <c r="E145" s="230">
        <f>E146+E156</f>
        <v>0</v>
      </c>
      <c r="F145" s="231" t="str">
        <f t="shared" si="2"/>
        <v>-</v>
      </c>
    </row>
    <row r="146" spans="1:6" s="7" customFormat="1" x14ac:dyDescent="0.2">
      <c r="A146" s="220">
        <v>681</v>
      </c>
      <c r="B146" s="221" t="s">
        <v>2493</v>
      </c>
      <c r="C146" s="222">
        <v>135</v>
      </c>
      <c r="D146" s="230">
        <f>SUM(D147:D155)</f>
        <v>0</v>
      </c>
      <c r="E146" s="230">
        <f>SUM(E147:E155)</f>
        <v>0</v>
      </c>
      <c r="F146" s="231" t="str">
        <f t="shared" si="2"/>
        <v>-</v>
      </c>
    </row>
    <row r="147" spans="1:6" s="7" customFormat="1" x14ac:dyDescent="0.2">
      <c r="A147" s="220">
        <v>6811</v>
      </c>
      <c r="B147" s="221" t="s">
        <v>2120</v>
      </c>
      <c r="C147" s="222">
        <v>136</v>
      </c>
      <c r="D147" s="223"/>
      <c r="E147" s="223"/>
      <c r="F147" s="229" t="str">
        <f t="shared" si="2"/>
        <v>-</v>
      </c>
    </row>
    <row r="148" spans="1:6" s="7" customFormat="1" x14ac:dyDescent="0.2">
      <c r="A148" s="220">
        <v>6812</v>
      </c>
      <c r="B148" s="221" t="s">
        <v>3931</v>
      </c>
      <c r="C148" s="222">
        <v>137</v>
      </c>
      <c r="D148" s="223"/>
      <c r="E148" s="223"/>
      <c r="F148" s="229" t="str">
        <f t="shared" si="2"/>
        <v>-</v>
      </c>
    </row>
    <row r="149" spans="1:6" s="7" customFormat="1" x14ac:dyDescent="0.2">
      <c r="A149" s="220">
        <v>6813</v>
      </c>
      <c r="B149" s="221" t="s">
        <v>1761</v>
      </c>
      <c r="C149" s="222">
        <v>138</v>
      </c>
      <c r="D149" s="223"/>
      <c r="E149" s="223"/>
      <c r="F149" s="229" t="str">
        <f t="shared" si="2"/>
        <v>-</v>
      </c>
    </row>
    <row r="150" spans="1:6" s="7" customFormat="1" x14ac:dyDescent="0.2">
      <c r="A150" s="220">
        <v>6814</v>
      </c>
      <c r="B150" s="221" t="s">
        <v>1762</v>
      </c>
      <c r="C150" s="222">
        <v>139</v>
      </c>
      <c r="D150" s="223"/>
      <c r="E150" s="223"/>
      <c r="F150" s="229" t="str">
        <f t="shared" si="2"/>
        <v>-</v>
      </c>
    </row>
    <row r="151" spans="1:6" s="7" customFormat="1" x14ac:dyDescent="0.2">
      <c r="A151" s="220">
        <v>6815</v>
      </c>
      <c r="B151" s="221" t="s">
        <v>1874</v>
      </c>
      <c r="C151" s="222">
        <v>140</v>
      </c>
      <c r="D151" s="223"/>
      <c r="E151" s="223"/>
      <c r="F151" s="229" t="str">
        <f t="shared" si="2"/>
        <v>-</v>
      </c>
    </row>
    <row r="152" spans="1:6" s="7" customFormat="1" x14ac:dyDescent="0.2">
      <c r="A152" s="220">
        <v>6816</v>
      </c>
      <c r="B152" s="221" t="s">
        <v>1763</v>
      </c>
      <c r="C152" s="222">
        <v>141</v>
      </c>
      <c r="D152" s="223"/>
      <c r="E152" s="223"/>
      <c r="F152" s="229" t="str">
        <f t="shared" si="2"/>
        <v>-</v>
      </c>
    </row>
    <row r="153" spans="1:6" s="7" customFormat="1" x14ac:dyDescent="0.2">
      <c r="A153" s="220">
        <v>6817</v>
      </c>
      <c r="B153" s="221" t="s">
        <v>2537</v>
      </c>
      <c r="C153" s="222">
        <v>142</v>
      </c>
      <c r="D153" s="223"/>
      <c r="E153" s="223"/>
      <c r="F153" s="229" t="str">
        <f t="shared" si="2"/>
        <v>-</v>
      </c>
    </row>
    <row r="154" spans="1:6" s="7" customFormat="1" x14ac:dyDescent="0.2">
      <c r="A154" s="220">
        <v>6818</v>
      </c>
      <c r="B154" s="221" t="s">
        <v>2538</v>
      </c>
      <c r="C154" s="222">
        <v>143</v>
      </c>
      <c r="D154" s="223"/>
      <c r="E154" s="223"/>
      <c r="F154" s="229" t="str">
        <f t="shared" si="2"/>
        <v>-</v>
      </c>
    </row>
    <row r="155" spans="1:6" s="7" customFormat="1" x14ac:dyDescent="0.2">
      <c r="A155" s="220">
        <v>6819</v>
      </c>
      <c r="B155" s="221" t="s">
        <v>3932</v>
      </c>
      <c r="C155" s="222">
        <v>144</v>
      </c>
      <c r="D155" s="223"/>
      <c r="E155" s="223"/>
      <c r="F155" s="229" t="str">
        <f t="shared" si="2"/>
        <v>-</v>
      </c>
    </row>
    <row r="156" spans="1:6" s="7" customFormat="1" x14ac:dyDescent="0.2">
      <c r="A156" s="220">
        <v>683</v>
      </c>
      <c r="B156" s="221" t="s">
        <v>2539</v>
      </c>
      <c r="C156" s="222">
        <v>145</v>
      </c>
      <c r="D156" s="223"/>
      <c r="E156" s="223"/>
      <c r="F156" s="229" t="str">
        <f t="shared" si="2"/>
        <v>-</v>
      </c>
    </row>
    <row r="157" spans="1:6" s="7" customFormat="1" x14ac:dyDescent="0.2">
      <c r="A157" s="220">
        <v>3</v>
      </c>
      <c r="B157" s="221" t="s">
        <v>2494</v>
      </c>
      <c r="C157" s="222">
        <v>146</v>
      </c>
      <c r="D157" s="230">
        <f>D158+D169+D202+D221+D230+D258+D269</f>
        <v>3545839</v>
      </c>
      <c r="E157" s="230">
        <f>E158+E169+E202+E221+E230+E258+E269</f>
        <v>3383955</v>
      </c>
      <c r="F157" s="231">
        <f t="shared" si="2"/>
        <v>95.434536085817768</v>
      </c>
    </row>
    <row r="158" spans="1:6" s="7" customFormat="1" x14ac:dyDescent="0.2">
      <c r="A158" s="220">
        <v>31</v>
      </c>
      <c r="B158" s="221" t="s">
        <v>2495</v>
      </c>
      <c r="C158" s="222">
        <v>147</v>
      </c>
      <c r="D158" s="230">
        <f>D159+D164+D165</f>
        <v>763847</v>
      </c>
      <c r="E158" s="230">
        <f>E159+E164+E165</f>
        <v>632337</v>
      </c>
      <c r="F158" s="231">
        <f t="shared" si="2"/>
        <v>82.783201347913916</v>
      </c>
    </row>
    <row r="159" spans="1:6" s="7" customFormat="1" x14ac:dyDescent="0.2">
      <c r="A159" s="220">
        <v>311</v>
      </c>
      <c r="B159" s="221" t="s">
        <v>2496</v>
      </c>
      <c r="C159" s="222">
        <v>148</v>
      </c>
      <c r="D159" s="230">
        <f>SUM(D160:D163)</f>
        <v>661005</v>
      </c>
      <c r="E159" s="230">
        <f>SUM(E160:E163)</f>
        <v>549560</v>
      </c>
      <c r="F159" s="231">
        <f t="shared" si="2"/>
        <v>83.140067019160213</v>
      </c>
    </row>
    <row r="160" spans="1:6" s="7" customFormat="1" x14ac:dyDescent="0.2">
      <c r="A160" s="220">
        <v>3111</v>
      </c>
      <c r="B160" s="221" t="s">
        <v>1709</v>
      </c>
      <c r="C160" s="222">
        <v>149</v>
      </c>
      <c r="D160" s="223">
        <v>661005</v>
      </c>
      <c r="E160" s="223">
        <v>549560</v>
      </c>
      <c r="F160" s="229">
        <f t="shared" si="2"/>
        <v>83.140067019160213</v>
      </c>
    </row>
    <row r="161" spans="1:6" s="7" customFormat="1" x14ac:dyDescent="0.2">
      <c r="A161" s="220">
        <v>3112</v>
      </c>
      <c r="B161" s="221" t="s">
        <v>1710</v>
      </c>
      <c r="C161" s="222">
        <v>150</v>
      </c>
      <c r="D161" s="223"/>
      <c r="E161" s="223"/>
      <c r="F161" s="229" t="str">
        <f t="shared" si="2"/>
        <v>-</v>
      </c>
    </row>
    <row r="162" spans="1:6" s="7" customFormat="1" x14ac:dyDescent="0.2">
      <c r="A162" s="220">
        <v>3113</v>
      </c>
      <c r="B162" s="221" t="s">
        <v>1711</v>
      </c>
      <c r="C162" s="222">
        <v>151</v>
      </c>
      <c r="D162" s="223"/>
      <c r="E162" s="223"/>
      <c r="F162" s="229" t="str">
        <f t="shared" si="2"/>
        <v>-</v>
      </c>
    </row>
    <row r="163" spans="1:6" s="7" customFormat="1" x14ac:dyDescent="0.2">
      <c r="A163" s="220">
        <v>3114</v>
      </c>
      <c r="B163" s="221" t="s">
        <v>1712</v>
      </c>
      <c r="C163" s="222">
        <v>152</v>
      </c>
      <c r="D163" s="223"/>
      <c r="E163" s="223"/>
      <c r="F163" s="229" t="str">
        <f t="shared" si="2"/>
        <v>-</v>
      </c>
    </row>
    <row r="164" spans="1:6" s="7" customFormat="1" x14ac:dyDescent="0.2">
      <c r="A164" s="220">
        <v>312</v>
      </c>
      <c r="B164" s="221" t="s">
        <v>381</v>
      </c>
      <c r="C164" s="222">
        <v>153</v>
      </c>
      <c r="D164" s="223">
        <v>9000</v>
      </c>
      <c r="E164" s="223">
        <v>7500</v>
      </c>
      <c r="F164" s="229">
        <f t="shared" si="2"/>
        <v>83.333333333333343</v>
      </c>
    </row>
    <row r="165" spans="1:6" s="7" customFormat="1" x14ac:dyDescent="0.2">
      <c r="A165" s="220">
        <v>313</v>
      </c>
      <c r="B165" s="221" t="s">
        <v>2499</v>
      </c>
      <c r="C165" s="222">
        <v>154</v>
      </c>
      <c r="D165" s="230">
        <f>SUM(D166:D168)</f>
        <v>93842</v>
      </c>
      <c r="E165" s="230">
        <f>SUM(E166:E168)</f>
        <v>75277</v>
      </c>
      <c r="F165" s="231">
        <f t="shared" si="2"/>
        <v>80.21674729865093</v>
      </c>
    </row>
    <row r="166" spans="1:6" s="7" customFormat="1" x14ac:dyDescent="0.2">
      <c r="A166" s="220">
        <v>3131</v>
      </c>
      <c r="B166" s="221" t="s">
        <v>807</v>
      </c>
      <c r="C166" s="222">
        <v>155</v>
      </c>
      <c r="D166" s="223"/>
      <c r="E166" s="223"/>
      <c r="F166" s="229" t="str">
        <f t="shared" si="2"/>
        <v>-</v>
      </c>
    </row>
    <row r="167" spans="1:6" s="7" customFormat="1" x14ac:dyDescent="0.2">
      <c r="A167" s="220">
        <v>3132</v>
      </c>
      <c r="B167" s="221" t="s">
        <v>2540</v>
      </c>
      <c r="C167" s="222">
        <v>156</v>
      </c>
      <c r="D167" s="223">
        <v>93842</v>
      </c>
      <c r="E167" s="223">
        <v>75277</v>
      </c>
      <c r="F167" s="229">
        <f t="shared" si="2"/>
        <v>80.21674729865093</v>
      </c>
    </row>
    <row r="168" spans="1:6" s="7" customFormat="1" x14ac:dyDescent="0.2">
      <c r="A168" s="220">
        <v>3133</v>
      </c>
      <c r="B168" s="221" t="s">
        <v>3787</v>
      </c>
      <c r="C168" s="222">
        <v>157</v>
      </c>
      <c r="D168" s="223"/>
      <c r="E168" s="223"/>
      <c r="F168" s="229" t="str">
        <f t="shared" si="2"/>
        <v>-</v>
      </c>
    </row>
    <row r="169" spans="1:6" s="7" customFormat="1" x14ac:dyDescent="0.2">
      <c r="A169" s="220">
        <v>32</v>
      </c>
      <c r="B169" s="221" t="s">
        <v>2497</v>
      </c>
      <c r="C169" s="222">
        <v>158</v>
      </c>
      <c r="D169" s="230">
        <f>D170+D175+D183+D193+D194</f>
        <v>1609408</v>
      </c>
      <c r="E169" s="230">
        <f>E170+E175+E183+E193+E194</f>
        <v>1503181</v>
      </c>
      <c r="F169" s="231">
        <f t="shared" si="2"/>
        <v>93.399622718415714</v>
      </c>
    </row>
    <row r="170" spans="1:6" s="7" customFormat="1" x14ac:dyDescent="0.2">
      <c r="A170" s="220">
        <v>321</v>
      </c>
      <c r="B170" s="221" t="s">
        <v>2498</v>
      </c>
      <c r="C170" s="222">
        <v>159</v>
      </c>
      <c r="D170" s="230">
        <f>SUM(D171:D174)</f>
        <v>33862</v>
      </c>
      <c r="E170" s="230">
        <f>SUM(E171:E174)</f>
        <v>21785</v>
      </c>
      <c r="F170" s="231">
        <f t="shared" si="2"/>
        <v>64.334652412734044</v>
      </c>
    </row>
    <row r="171" spans="1:6" s="7" customFormat="1" x14ac:dyDescent="0.2">
      <c r="A171" s="220">
        <v>3211</v>
      </c>
      <c r="B171" s="221" t="s">
        <v>3216</v>
      </c>
      <c r="C171" s="222">
        <v>160</v>
      </c>
      <c r="D171" s="223">
        <v>8833</v>
      </c>
      <c r="E171" s="223">
        <v>1828</v>
      </c>
      <c r="F171" s="229">
        <f t="shared" si="2"/>
        <v>20.695120570587569</v>
      </c>
    </row>
    <row r="172" spans="1:6" s="7" customFormat="1" x14ac:dyDescent="0.2">
      <c r="A172" s="220">
        <v>3212</v>
      </c>
      <c r="B172" s="221" t="s">
        <v>2459</v>
      </c>
      <c r="C172" s="222">
        <v>161</v>
      </c>
      <c r="D172" s="223">
        <v>24429</v>
      </c>
      <c r="E172" s="223">
        <v>19457</v>
      </c>
      <c r="F172" s="229">
        <f t="shared" si="2"/>
        <v>79.647140693438118</v>
      </c>
    </row>
    <row r="173" spans="1:6" s="7" customFormat="1" x14ac:dyDescent="0.2">
      <c r="A173" s="220">
        <v>3213</v>
      </c>
      <c r="B173" s="221" t="s">
        <v>2542</v>
      </c>
      <c r="C173" s="222">
        <v>162</v>
      </c>
      <c r="D173" s="223">
        <v>600</v>
      </c>
      <c r="E173" s="223">
        <v>500</v>
      </c>
      <c r="F173" s="229">
        <f t="shared" si="2"/>
        <v>83.333333333333343</v>
      </c>
    </row>
    <row r="174" spans="1:6" s="7" customFormat="1" x14ac:dyDescent="0.2">
      <c r="A174" s="220">
        <v>3214</v>
      </c>
      <c r="B174" s="221" t="s">
        <v>2541</v>
      </c>
      <c r="C174" s="222">
        <v>163</v>
      </c>
      <c r="D174" s="223"/>
      <c r="E174" s="223"/>
      <c r="F174" s="229" t="str">
        <f t="shared" si="2"/>
        <v>-</v>
      </c>
    </row>
    <row r="175" spans="1:6" s="7" customFormat="1" x14ac:dyDescent="0.2">
      <c r="A175" s="220">
        <v>322</v>
      </c>
      <c r="B175" s="221" t="s">
        <v>1268</v>
      </c>
      <c r="C175" s="222">
        <v>164</v>
      </c>
      <c r="D175" s="230">
        <f>SUM(D176:D182)</f>
        <v>210467</v>
      </c>
      <c r="E175" s="230">
        <f>SUM(E176:E182)</f>
        <v>212087</v>
      </c>
      <c r="F175" s="231">
        <f t="shared" si="2"/>
        <v>100.76971686772748</v>
      </c>
    </row>
    <row r="176" spans="1:6" s="7" customFormat="1" x14ac:dyDescent="0.2">
      <c r="A176" s="220">
        <v>3221</v>
      </c>
      <c r="B176" s="221" t="s">
        <v>2543</v>
      </c>
      <c r="C176" s="222">
        <v>165</v>
      </c>
      <c r="D176" s="223">
        <v>21140</v>
      </c>
      <c r="E176" s="223">
        <f>82492-20294-11344-37224</f>
        <v>13630</v>
      </c>
      <c r="F176" s="229">
        <f t="shared" si="2"/>
        <v>64.474929044465469</v>
      </c>
    </row>
    <row r="177" spans="1:6" s="7" customFormat="1" x14ac:dyDescent="0.2">
      <c r="A177" s="220">
        <v>3222</v>
      </c>
      <c r="B177" s="221" t="s">
        <v>2544</v>
      </c>
      <c r="C177" s="222">
        <v>166</v>
      </c>
      <c r="D177" s="223"/>
      <c r="E177" s="223"/>
      <c r="F177" s="229" t="str">
        <f t="shared" si="2"/>
        <v>-</v>
      </c>
    </row>
    <row r="178" spans="1:6" s="7" customFormat="1" x14ac:dyDescent="0.2">
      <c r="A178" s="220">
        <v>3223</v>
      </c>
      <c r="B178" s="221" t="s">
        <v>2545</v>
      </c>
      <c r="C178" s="222">
        <v>167</v>
      </c>
      <c r="D178" s="223">
        <v>149017</v>
      </c>
      <c r="E178" s="223">
        <v>122997</v>
      </c>
      <c r="F178" s="229">
        <f t="shared" si="2"/>
        <v>82.538904957152539</v>
      </c>
    </row>
    <row r="179" spans="1:6" s="7" customFormat="1" x14ac:dyDescent="0.2">
      <c r="A179" s="220">
        <v>3224</v>
      </c>
      <c r="B179" s="221" t="s">
        <v>2267</v>
      </c>
      <c r="C179" s="222">
        <v>168</v>
      </c>
      <c r="D179" s="223">
        <v>38673</v>
      </c>
      <c r="E179" s="223">
        <f>37224+11344+20294</f>
        <v>68862</v>
      </c>
      <c r="F179" s="229">
        <f t="shared" si="2"/>
        <v>178.06221394771546</v>
      </c>
    </row>
    <row r="180" spans="1:6" s="7" customFormat="1" x14ac:dyDescent="0.2">
      <c r="A180" s="220">
        <v>3225</v>
      </c>
      <c r="B180" s="221" t="s">
        <v>4089</v>
      </c>
      <c r="C180" s="222">
        <v>169</v>
      </c>
      <c r="D180" s="223">
        <v>1077</v>
      </c>
      <c r="E180" s="223">
        <v>5116</v>
      </c>
      <c r="F180" s="229">
        <f t="shared" si="2"/>
        <v>475.02321262766947</v>
      </c>
    </row>
    <row r="181" spans="1:6" s="7" customFormat="1" x14ac:dyDescent="0.2">
      <c r="A181" s="220">
        <v>3226</v>
      </c>
      <c r="B181" s="221" t="s">
        <v>2028</v>
      </c>
      <c r="C181" s="222">
        <v>170</v>
      </c>
      <c r="D181" s="223"/>
      <c r="E181" s="223"/>
      <c r="F181" s="229" t="str">
        <f t="shared" si="2"/>
        <v>-</v>
      </c>
    </row>
    <row r="182" spans="1:6" s="7" customFormat="1" x14ac:dyDescent="0.2">
      <c r="A182" s="220">
        <v>3227</v>
      </c>
      <c r="B182" s="221" t="s">
        <v>100</v>
      </c>
      <c r="C182" s="222">
        <v>171</v>
      </c>
      <c r="D182" s="223">
        <v>560</v>
      </c>
      <c r="E182" s="223">
        <v>1482</v>
      </c>
      <c r="F182" s="229">
        <f t="shared" si="2"/>
        <v>264.64285714285711</v>
      </c>
    </row>
    <row r="183" spans="1:6" s="7" customFormat="1" x14ac:dyDescent="0.2">
      <c r="A183" s="220">
        <v>323</v>
      </c>
      <c r="B183" s="221" t="s">
        <v>2501</v>
      </c>
      <c r="C183" s="222">
        <v>172</v>
      </c>
      <c r="D183" s="230">
        <f>SUM(D184:D192)</f>
        <v>1148230</v>
      </c>
      <c r="E183" s="230">
        <f>SUM(E184:E192)</f>
        <v>1036939</v>
      </c>
      <c r="F183" s="231">
        <f t="shared" si="2"/>
        <v>90.307603877271987</v>
      </c>
    </row>
    <row r="184" spans="1:6" s="7" customFormat="1" x14ac:dyDescent="0.2">
      <c r="A184" s="220">
        <v>3231</v>
      </c>
      <c r="B184" s="221" t="s">
        <v>3312</v>
      </c>
      <c r="C184" s="222">
        <v>173</v>
      </c>
      <c r="D184" s="223">
        <v>15486</v>
      </c>
      <c r="E184" s="223">
        <v>19171</v>
      </c>
      <c r="F184" s="229">
        <f t="shared" si="2"/>
        <v>123.79568642644969</v>
      </c>
    </row>
    <row r="185" spans="1:6" s="7" customFormat="1" x14ac:dyDescent="0.2">
      <c r="A185" s="220">
        <v>3232</v>
      </c>
      <c r="B185" s="221" t="s">
        <v>2101</v>
      </c>
      <c r="C185" s="222">
        <v>174</v>
      </c>
      <c r="D185" s="223">
        <v>753880</v>
      </c>
      <c r="E185" s="223">
        <v>553279</v>
      </c>
      <c r="F185" s="229">
        <f t="shared" si="2"/>
        <v>73.390857961479284</v>
      </c>
    </row>
    <row r="186" spans="1:6" s="7" customFormat="1" x14ac:dyDescent="0.2">
      <c r="A186" s="220">
        <v>3233</v>
      </c>
      <c r="B186" s="221" t="s">
        <v>2102</v>
      </c>
      <c r="C186" s="222">
        <v>175</v>
      </c>
      <c r="D186" s="223">
        <v>36591</v>
      </c>
      <c r="E186" s="223">
        <v>58518</v>
      </c>
      <c r="F186" s="229">
        <f t="shared" si="2"/>
        <v>159.92457161597113</v>
      </c>
    </row>
    <row r="187" spans="1:6" s="7" customFormat="1" x14ac:dyDescent="0.2">
      <c r="A187" s="220">
        <v>3234</v>
      </c>
      <c r="B187" s="221" t="s">
        <v>2103</v>
      </c>
      <c r="C187" s="222">
        <v>176</v>
      </c>
      <c r="D187" s="223">
        <v>50837</v>
      </c>
      <c r="E187" s="223">
        <v>59466</v>
      </c>
      <c r="F187" s="229">
        <f t="shared" si="2"/>
        <v>116.97385762338455</v>
      </c>
    </row>
    <row r="188" spans="1:6" s="7" customFormat="1" x14ac:dyDescent="0.2">
      <c r="A188" s="220">
        <v>3235</v>
      </c>
      <c r="B188" s="221" t="s">
        <v>2104</v>
      </c>
      <c r="C188" s="222">
        <v>177</v>
      </c>
      <c r="D188" s="223">
        <v>6025</v>
      </c>
      <c r="E188" s="223">
        <v>2940</v>
      </c>
      <c r="F188" s="229">
        <f t="shared" si="2"/>
        <v>48.796680497925308</v>
      </c>
    </row>
    <row r="189" spans="1:6" s="7" customFormat="1" x14ac:dyDescent="0.2">
      <c r="A189" s="220">
        <v>3236</v>
      </c>
      <c r="B189" s="221" t="s">
        <v>2105</v>
      </c>
      <c r="C189" s="222">
        <v>178</v>
      </c>
      <c r="D189" s="223">
        <v>10852</v>
      </c>
      <c r="E189" s="223">
        <v>10382</v>
      </c>
      <c r="F189" s="229">
        <f t="shared" si="2"/>
        <v>95.669001105786961</v>
      </c>
    </row>
    <row r="190" spans="1:6" s="7" customFormat="1" x14ac:dyDescent="0.2">
      <c r="A190" s="220">
        <v>3237</v>
      </c>
      <c r="B190" s="221" t="s">
        <v>2106</v>
      </c>
      <c r="C190" s="222">
        <v>179</v>
      </c>
      <c r="D190" s="223">
        <v>196705</v>
      </c>
      <c r="E190" s="223">
        <v>306728</v>
      </c>
      <c r="F190" s="229">
        <f t="shared" si="2"/>
        <v>155.93299611092752</v>
      </c>
    </row>
    <row r="191" spans="1:6" s="7" customFormat="1" x14ac:dyDescent="0.2">
      <c r="A191" s="220">
        <v>3238</v>
      </c>
      <c r="B191" s="221" t="s">
        <v>3561</v>
      </c>
      <c r="C191" s="222">
        <v>180</v>
      </c>
      <c r="D191" s="223">
        <v>2949</v>
      </c>
      <c r="E191" s="223">
        <v>3017</v>
      </c>
      <c r="F191" s="229">
        <f t="shared" si="2"/>
        <v>102.30586639538825</v>
      </c>
    </row>
    <row r="192" spans="1:6" s="7" customFormat="1" x14ac:dyDescent="0.2">
      <c r="A192" s="220">
        <v>3239</v>
      </c>
      <c r="B192" s="221" t="s">
        <v>3562</v>
      </c>
      <c r="C192" s="222">
        <v>181</v>
      </c>
      <c r="D192" s="223">
        <v>74905</v>
      </c>
      <c r="E192" s="223">
        <v>23438</v>
      </c>
      <c r="F192" s="229">
        <f t="shared" si="2"/>
        <v>31.290301047994124</v>
      </c>
    </row>
    <row r="193" spans="1:6" s="7" customFormat="1" x14ac:dyDescent="0.2">
      <c r="A193" s="220">
        <v>324</v>
      </c>
      <c r="B193" s="221" t="s">
        <v>101</v>
      </c>
      <c r="C193" s="222">
        <v>182</v>
      </c>
      <c r="D193" s="223"/>
      <c r="E193" s="223"/>
      <c r="F193" s="229" t="str">
        <f t="shared" si="2"/>
        <v>-</v>
      </c>
    </row>
    <row r="194" spans="1:6" s="7" customFormat="1" x14ac:dyDescent="0.2">
      <c r="A194" s="220">
        <v>329</v>
      </c>
      <c r="B194" s="221" t="s">
        <v>2500</v>
      </c>
      <c r="C194" s="222">
        <v>183</v>
      </c>
      <c r="D194" s="230">
        <f>SUM(D195:D201)</f>
        <v>216849</v>
      </c>
      <c r="E194" s="230">
        <f>SUM(E195:E201)</f>
        <v>232370</v>
      </c>
      <c r="F194" s="231">
        <f t="shared" si="2"/>
        <v>107.15751513726141</v>
      </c>
    </row>
    <row r="195" spans="1:6" s="7" customFormat="1" x14ac:dyDescent="0.2">
      <c r="A195" s="220">
        <v>3291</v>
      </c>
      <c r="B195" s="221" t="s">
        <v>553</v>
      </c>
      <c r="C195" s="222">
        <v>184</v>
      </c>
      <c r="D195" s="223">
        <v>156440</v>
      </c>
      <c r="E195" s="223">
        <v>160411</v>
      </c>
      <c r="F195" s="229">
        <f t="shared" si="2"/>
        <v>102.53835336231143</v>
      </c>
    </row>
    <row r="196" spans="1:6" s="7" customFormat="1" x14ac:dyDescent="0.2">
      <c r="A196" s="220">
        <v>3292</v>
      </c>
      <c r="B196" s="221" t="s">
        <v>554</v>
      </c>
      <c r="C196" s="222">
        <v>185</v>
      </c>
      <c r="D196" s="223">
        <v>5942</v>
      </c>
      <c r="E196" s="223">
        <v>7648</v>
      </c>
      <c r="F196" s="229">
        <f t="shared" si="2"/>
        <v>128.71087176035005</v>
      </c>
    </row>
    <row r="197" spans="1:6" s="7" customFormat="1" x14ac:dyDescent="0.2">
      <c r="A197" s="220">
        <v>3293</v>
      </c>
      <c r="B197" s="221" t="s">
        <v>555</v>
      </c>
      <c r="C197" s="222">
        <v>186</v>
      </c>
      <c r="D197" s="223">
        <v>12082</v>
      </c>
      <c r="E197" s="223">
        <v>31100</v>
      </c>
      <c r="F197" s="229">
        <f t="shared" si="2"/>
        <v>257.40771395464327</v>
      </c>
    </row>
    <row r="198" spans="1:6" s="7" customFormat="1" x14ac:dyDescent="0.2">
      <c r="A198" s="220">
        <v>3294</v>
      </c>
      <c r="B198" s="221" t="s">
        <v>2029</v>
      </c>
      <c r="C198" s="222">
        <v>187</v>
      </c>
      <c r="D198" s="223">
        <v>32498</v>
      </c>
      <c r="E198" s="223">
        <v>28747</v>
      </c>
      <c r="F198" s="229">
        <f t="shared" si="2"/>
        <v>88.457751246230544</v>
      </c>
    </row>
    <row r="199" spans="1:6" s="7" customFormat="1" x14ac:dyDescent="0.2">
      <c r="A199" s="220">
        <v>3295</v>
      </c>
      <c r="B199" s="221" t="s">
        <v>102</v>
      </c>
      <c r="C199" s="222">
        <v>188</v>
      </c>
      <c r="D199" s="223">
        <v>9607</v>
      </c>
      <c r="E199" s="223">
        <v>4464</v>
      </c>
      <c r="F199" s="229">
        <f t="shared" si="2"/>
        <v>46.466118455293014</v>
      </c>
    </row>
    <row r="200" spans="1:6" s="7" customFormat="1" x14ac:dyDescent="0.2">
      <c r="A200" s="220" t="s">
        <v>218</v>
      </c>
      <c r="B200" s="221" t="s">
        <v>219</v>
      </c>
      <c r="C200" s="222">
        <v>189</v>
      </c>
      <c r="D200" s="223"/>
      <c r="E200" s="223"/>
      <c r="F200" s="229" t="str">
        <f t="shared" si="2"/>
        <v>-</v>
      </c>
    </row>
    <row r="201" spans="1:6" s="7" customFormat="1" x14ac:dyDescent="0.2">
      <c r="A201" s="220">
        <v>3299</v>
      </c>
      <c r="B201" s="221" t="s">
        <v>556</v>
      </c>
      <c r="C201" s="222">
        <v>190</v>
      </c>
      <c r="D201" s="223">
        <v>280</v>
      </c>
      <c r="E201" s="223"/>
      <c r="F201" s="229">
        <f t="shared" si="2"/>
        <v>0</v>
      </c>
    </row>
    <row r="202" spans="1:6" s="7" customFormat="1" x14ac:dyDescent="0.2">
      <c r="A202" s="220">
        <v>34</v>
      </c>
      <c r="B202" s="221" t="s">
        <v>1269</v>
      </c>
      <c r="C202" s="222">
        <v>191</v>
      </c>
      <c r="D202" s="230">
        <f>D203+D208+D216</f>
        <v>12552</v>
      </c>
      <c r="E202" s="230">
        <f>E203+E208+E216</f>
        <v>17680</v>
      </c>
      <c r="F202" s="231">
        <f t="shared" si="2"/>
        <v>140.85404716379858</v>
      </c>
    </row>
    <row r="203" spans="1:6" s="7" customFormat="1" x14ac:dyDescent="0.2">
      <c r="A203" s="220">
        <v>341</v>
      </c>
      <c r="B203" s="221" t="s">
        <v>1270</v>
      </c>
      <c r="C203" s="222">
        <v>192</v>
      </c>
      <c r="D203" s="230">
        <f>SUM(D204:D207)</f>
        <v>0</v>
      </c>
      <c r="E203" s="230">
        <f>SUM(E204:E207)</f>
        <v>0</v>
      </c>
      <c r="F203" s="231" t="str">
        <f t="shared" si="2"/>
        <v>-</v>
      </c>
    </row>
    <row r="204" spans="1:6" s="7" customFormat="1" x14ac:dyDescent="0.2">
      <c r="A204" s="220">
        <v>3411</v>
      </c>
      <c r="B204" s="221" t="s">
        <v>557</v>
      </c>
      <c r="C204" s="222">
        <v>193</v>
      </c>
      <c r="D204" s="223"/>
      <c r="E204" s="223"/>
      <c r="F204" s="229" t="str">
        <f t="shared" ref="F204:F270" si="3">IF(D204&lt;&gt;0,IF(E204/D204&gt;=100,"&gt;&gt;100",E204/D204*100),"-")</f>
        <v>-</v>
      </c>
    </row>
    <row r="205" spans="1:6" s="7" customFormat="1" x14ac:dyDescent="0.2">
      <c r="A205" s="220">
        <v>3412</v>
      </c>
      <c r="B205" s="221" t="s">
        <v>558</v>
      </c>
      <c r="C205" s="222">
        <v>194</v>
      </c>
      <c r="D205" s="223"/>
      <c r="E205" s="223"/>
      <c r="F205" s="229" t="str">
        <f t="shared" si="3"/>
        <v>-</v>
      </c>
    </row>
    <row r="206" spans="1:6" s="7" customFormat="1" x14ac:dyDescent="0.2">
      <c r="A206" s="220">
        <v>3413</v>
      </c>
      <c r="B206" s="221" t="s">
        <v>1680</v>
      </c>
      <c r="C206" s="222">
        <v>195</v>
      </c>
      <c r="D206" s="223"/>
      <c r="E206" s="223"/>
      <c r="F206" s="229" t="str">
        <f t="shared" si="3"/>
        <v>-</v>
      </c>
    </row>
    <row r="207" spans="1:6" s="7" customFormat="1" x14ac:dyDescent="0.2">
      <c r="A207" s="220">
        <v>3419</v>
      </c>
      <c r="B207" s="221" t="s">
        <v>1681</v>
      </c>
      <c r="C207" s="222">
        <v>196</v>
      </c>
      <c r="D207" s="223"/>
      <c r="E207" s="223"/>
      <c r="F207" s="229" t="str">
        <f t="shared" si="3"/>
        <v>-</v>
      </c>
    </row>
    <row r="208" spans="1:6" s="7" customFormat="1" x14ac:dyDescent="0.2">
      <c r="A208" s="220">
        <v>342</v>
      </c>
      <c r="B208" s="221" t="s">
        <v>1271</v>
      </c>
      <c r="C208" s="222">
        <v>197</v>
      </c>
      <c r="D208" s="230">
        <f>SUM(D209:D215)</f>
        <v>0</v>
      </c>
      <c r="E208" s="230">
        <f>SUM(E209:E215)</f>
        <v>0</v>
      </c>
      <c r="F208" s="231" t="str">
        <f t="shared" si="3"/>
        <v>-</v>
      </c>
    </row>
    <row r="209" spans="1:6" s="7" customFormat="1" ht="24" x14ac:dyDescent="0.2">
      <c r="A209" s="220">
        <v>3421</v>
      </c>
      <c r="B209" s="221" t="s">
        <v>1823</v>
      </c>
      <c r="C209" s="222">
        <v>198</v>
      </c>
      <c r="D209" s="223"/>
      <c r="E209" s="223"/>
      <c r="F209" s="229" t="str">
        <f t="shared" si="3"/>
        <v>-</v>
      </c>
    </row>
    <row r="210" spans="1:6" s="7" customFormat="1" ht="24" x14ac:dyDescent="0.2">
      <c r="A210" s="220">
        <v>3422</v>
      </c>
      <c r="B210" s="221" t="s">
        <v>938</v>
      </c>
      <c r="C210" s="222">
        <v>199</v>
      </c>
      <c r="D210" s="223"/>
      <c r="E210" s="223"/>
      <c r="F210" s="229" t="str">
        <f t="shared" si="3"/>
        <v>-</v>
      </c>
    </row>
    <row r="211" spans="1:6" s="7" customFormat="1" ht="24" x14ac:dyDescent="0.2">
      <c r="A211" s="220">
        <v>3423</v>
      </c>
      <c r="B211" s="221" t="s">
        <v>939</v>
      </c>
      <c r="C211" s="222">
        <v>200</v>
      </c>
      <c r="D211" s="223"/>
      <c r="E211" s="223"/>
      <c r="F211" s="229" t="str">
        <f t="shared" si="3"/>
        <v>-</v>
      </c>
    </row>
    <row r="212" spans="1:6" s="7" customFormat="1" x14ac:dyDescent="0.2">
      <c r="A212" s="220">
        <v>3425</v>
      </c>
      <c r="B212" s="221" t="s">
        <v>3908</v>
      </c>
      <c r="C212" s="222">
        <v>201</v>
      </c>
      <c r="D212" s="223"/>
      <c r="E212" s="223"/>
      <c r="F212" s="229" t="str">
        <f t="shared" si="3"/>
        <v>-</v>
      </c>
    </row>
    <row r="213" spans="1:6" s="7" customFormat="1" x14ac:dyDescent="0.2">
      <c r="A213" s="220">
        <v>3426</v>
      </c>
      <c r="B213" s="221" t="s">
        <v>3909</v>
      </c>
      <c r="C213" s="222">
        <v>202</v>
      </c>
      <c r="D213" s="223"/>
      <c r="E213" s="223"/>
      <c r="F213" s="229" t="str">
        <f t="shared" si="3"/>
        <v>-</v>
      </c>
    </row>
    <row r="214" spans="1:6" s="7" customFormat="1" x14ac:dyDescent="0.2">
      <c r="A214" s="220">
        <v>3427</v>
      </c>
      <c r="B214" s="221" t="s">
        <v>3910</v>
      </c>
      <c r="C214" s="222">
        <v>203</v>
      </c>
      <c r="D214" s="223"/>
      <c r="E214" s="223"/>
      <c r="F214" s="229" t="str">
        <f t="shared" si="3"/>
        <v>-</v>
      </c>
    </row>
    <row r="215" spans="1:6" s="7" customFormat="1" x14ac:dyDescent="0.2">
      <c r="A215" s="220">
        <v>3428</v>
      </c>
      <c r="B215" s="221" t="s">
        <v>2911</v>
      </c>
      <c r="C215" s="222">
        <v>204</v>
      </c>
      <c r="D215" s="223"/>
      <c r="E215" s="223"/>
      <c r="F215" s="229" t="str">
        <f t="shared" si="3"/>
        <v>-</v>
      </c>
    </row>
    <row r="216" spans="1:6" s="7" customFormat="1" x14ac:dyDescent="0.2">
      <c r="A216" s="220">
        <v>343</v>
      </c>
      <c r="B216" s="221" t="s">
        <v>50</v>
      </c>
      <c r="C216" s="222">
        <v>205</v>
      </c>
      <c r="D216" s="230">
        <f>SUM(D217:D220)</f>
        <v>12552</v>
      </c>
      <c r="E216" s="230">
        <f>SUM(E217:E220)</f>
        <v>17680</v>
      </c>
      <c r="F216" s="231">
        <f t="shared" si="3"/>
        <v>140.85404716379858</v>
      </c>
    </row>
    <row r="217" spans="1:6" s="7" customFormat="1" x14ac:dyDescent="0.2">
      <c r="A217" s="220">
        <v>3431</v>
      </c>
      <c r="B217" s="221" t="s">
        <v>104</v>
      </c>
      <c r="C217" s="222">
        <v>206</v>
      </c>
      <c r="D217" s="223">
        <v>12272</v>
      </c>
      <c r="E217" s="223">
        <v>17661</v>
      </c>
      <c r="F217" s="229">
        <f t="shared" si="3"/>
        <v>143.91297262059973</v>
      </c>
    </row>
    <row r="218" spans="1:6" s="7" customFormat="1" x14ac:dyDescent="0.2">
      <c r="A218" s="220">
        <v>3432</v>
      </c>
      <c r="B218" s="221" t="s">
        <v>3911</v>
      </c>
      <c r="C218" s="222">
        <v>207</v>
      </c>
      <c r="D218" s="223"/>
      <c r="E218" s="223"/>
      <c r="F218" s="229" t="str">
        <f t="shared" si="3"/>
        <v>-</v>
      </c>
    </row>
    <row r="219" spans="1:6" s="7" customFormat="1" x14ac:dyDescent="0.2">
      <c r="A219" s="220">
        <v>3433</v>
      </c>
      <c r="B219" s="221" t="s">
        <v>1454</v>
      </c>
      <c r="C219" s="222">
        <v>208</v>
      </c>
      <c r="D219" s="223"/>
      <c r="E219" s="223">
        <v>19</v>
      </c>
      <c r="F219" s="229" t="str">
        <f t="shared" si="3"/>
        <v>-</v>
      </c>
    </row>
    <row r="220" spans="1:6" s="7" customFormat="1" x14ac:dyDescent="0.2">
      <c r="A220" s="220">
        <v>3434</v>
      </c>
      <c r="B220" s="221" t="s">
        <v>4100</v>
      </c>
      <c r="C220" s="222">
        <v>209</v>
      </c>
      <c r="D220" s="223">
        <v>280</v>
      </c>
      <c r="E220" s="223"/>
      <c r="F220" s="229">
        <f t="shared" si="3"/>
        <v>0</v>
      </c>
    </row>
    <row r="221" spans="1:6" s="7" customFormat="1" x14ac:dyDescent="0.2">
      <c r="A221" s="220">
        <v>35</v>
      </c>
      <c r="B221" s="221" t="s">
        <v>1272</v>
      </c>
      <c r="C221" s="222">
        <v>210</v>
      </c>
      <c r="D221" s="230">
        <f>D222+D225+D229</f>
        <v>0</v>
      </c>
      <c r="E221" s="230">
        <f>E222+E225+E229</f>
        <v>5695</v>
      </c>
      <c r="F221" s="231" t="str">
        <f t="shared" si="3"/>
        <v>-</v>
      </c>
    </row>
    <row r="222" spans="1:6" s="7" customFormat="1" x14ac:dyDescent="0.2">
      <c r="A222" s="220">
        <v>351</v>
      </c>
      <c r="B222" s="221" t="s">
        <v>1273</v>
      </c>
      <c r="C222" s="222">
        <v>211</v>
      </c>
      <c r="D222" s="230">
        <f>SUM(D223:D224)</f>
        <v>0</v>
      </c>
      <c r="E222" s="230">
        <f>SUM(E223:E224)</f>
        <v>0</v>
      </c>
      <c r="F222" s="231" t="str">
        <f t="shared" si="3"/>
        <v>-</v>
      </c>
    </row>
    <row r="223" spans="1:6" s="7" customFormat="1" x14ac:dyDescent="0.2">
      <c r="A223" s="220">
        <v>3511</v>
      </c>
      <c r="B223" s="221" t="s">
        <v>1612</v>
      </c>
      <c r="C223" s="222">
        <v>212</v>
      </c>
      <c r="D223" s="223"/>
      <c r="E223" s="223"/>
      <c r="F223" s="229" t="str">
        <f t="shared" si="3"/>
        <v>-</v>
      </c>
    </row>
    <row r="224" spans="1:6" s="7" customFormat="1" x14ac:dyDescent="0.2">
      <c r="A224" s="220">
        <v>3512</v>
      </c>
      <c r="B224" s="221" t="s">
        <v>2372</v>
      </c>
      <c r="C224" s="222">
        <v>213</v>
      </c>
      <c r="D224" s="223"/>
      <c r="E224" s="223"/>
      <c r="F224" s="229" t="str">
        <f t="shared" si="3"/>
        <v>-</v>
      </c>
    </row>
    <row r="225" spans="1:6" s="7" customFormat="1" ht="24" x14ac:dyDescent="0.2">
      <c r="A225" s="220">
        <v>352</v>
      </c>
      <c r="B225" s="221" t="s">
        <v>1274</v>
      </c>
      <c r="C225" s="222">
        <v>214</v>
      </c>
      <c r="D225" s="230">
        <f>SUM(D226:D228)</f>
        <v>0</v>
      </c>
      <c r="E225" s="230">
        <f>SUM(E226:E228)</f>
        <v>5695</v>
      </c>
      <c r="F225" s="231" t="str">
        <f t="shared" si="3"/>
        <v>-</v>
      </c>
    </row>
    <row r="226" spans="1:6" s="7" customFormat="1" x14ac:dyDescent="0.2">
      <c r="A226" s="220">
        <v>3521</v>
      </c>
      <c r="B226" s="221" t="s">
        <v>1613</v>
      </c>
      <c r="C226" s="222">
        <v>215</v>
      </c>
      <c r="D226" s="223"/>
      <c r="E226" s="223"/>
      <c r="F226" s="229" t="str">
        <f t="shared" si="3"/>
        <v>-</v>
      </c>
    </row>
    <row r="227" spans="1:6" s="7" customFormat="1" x14ac:dyDescent="0.2">
      <c r="A227" s="220">
        <v>3522</v>
      </c>
      <c r="B227" s="221" t="s">
        <v>3718</v>
      </c>
      <c r="C227" s="222">
        <v>216</v>
      </c>
      <c r="D227" s="223"/>
      <c r="E227" s="223"/>
      <c r="F227" s="229" t="str">
        <f t="shared" si="3"/>
        <v>-</v>
      </c>
    </row>
    <row r="228" spans="1:6" s="7" customFormat="1" x14ac:dyDescent="0.2">
      <c r="A228" s="220">
        <v>3523</v>
      </c>
      <c r="B228" s="221" t="s">
        <v>1614</v>
      </c>
      <c r="C228" s="222">
        <v>217</v>
      </c>
      <c r="D228" s="223"/>
      <c r="E228" s="223">
        <v>5695</v>
      </c>
      <c r="F228" s="229" t="str">
        <f t="shared" si="3"/>
        <v>-</v>
      </c>
    </row>
    <row r="229" spans="1:6" s="7" customFormat="1" ht="24" x14ac:dyDescent="0.2">
      <c r="A229" s="220" t="s">
        <v>3719</v>
      </c>
      <c r="B229" s="221" t="s">
        <v>2764</v>
      </c>
      <c r="C229" s="222">
        <v>218</v>
      </c>
      <c r="D229" s="223"/>
      <c r="E229" s="223"/>
      <c r="F229" s="229" t="str">
        <f>IF(D229&lt;&gt;0,IF(E229/D229&gt;=100,"&gt;&gt;100",E229/D229*100),"-")</f>
        <v>-</v>
      </c>
    </row>
    <row r="230" spans="1:6" s="7" customFormat="1" ht="24" x14ac:dyDescent="0.2">
      <c r="A230" s="220">
        <v>36</v>
      </c>
      <c r="B230" s="221" t="s">
        <v>1275</v>
      </c>
      <c r="C230" s="222">
        <v>219</v>
      </c>
      <c r="D230" s="230">
        <f>D231+D234+D237+D242+D246+D250+D253</f>
        <v>640246</v>
      </c>
      <c r="E230" s="230">
        <f>E231+E234+E237+E242+E246+E250+E253</f>
        <v>758533</v>
      </c>
      <c r="F230" s="231">
        <f t="shared" si="3"/>
        <v>118.47524232872991</v>
      </c>
    </row>
    <row r="231" spans="1:6" s="7" customFormat="1" x14ac:dyDescent="0.2">
      <c r="A231" s="220">
        <v>361</v>
      </c>
      <c r="B231" s="221" t="s">
        <v>1276</v>
      </c>
      <c r="C231" s="222">
        <v>220</v>
      </c>
      <c r="D231" s="230">
        <f>SUM(D232:D233)</f>
        <v>0</v>
      </c>
      <c r="E231" s="230">
        <f>SUM(E232:E233)</f>
        <v>0</v>
      </c>
      <c r="F231" s="231" t="str">
        <f t="shared" si="3"/>
        <v>-</v>
      </c>
    </row>
    <row r="232" spans="1:6" s="7" customFormat="1" x14ac:dyDescent="0.2">
      <c r="A232" s="220">
        <v>3611</v>
      </c>
      <c r="B232" s="221" t="s">
        <v>2373</v>
      </c>
      <c r="C232" s="222">
        <v>221</v>
      </c>
      <c r="D232" s="223"/>
      <c r="E232" s="223"/>
      <c r="F232" s="229" t="str">
        <f t="shared" si="3"/>
        <v>-</v>
      </c>
    </row>
    <row r="233" spans="1:6" s="7" customFormat="1" x14ac:dyDescent="0.2">
      <c r="A233" s="220">
        <v>3612</v>
      </c>
      <c r="B233" s="221" t="s">
        <v>2374</v>
      </c>
      <c r="C233" s="222">
        <v>222</v>
      </c>
      <c r="D233" s="223"/>
      <c r="E233" s="223"/>
      <c r="F233" s="229" t="str">
        <f t="shared" si="3"/>
        <v>-</v>
      </c>
    </row>
    <row r="234" spans="1:6" s="7" customFormat="1" x14ac:dyDescent="0.2">
      <c r="A234" s="220">
        <v>362</v>
      </c>
      <c r="B234" s="221" t="s">
        <v>1277</v>
      </c>
      <c r="C234" s="222">
        <v>223</v>
      </c>
      <c r="D234" s="230">
        <f>SUM(D235:D236)</f>
        <v>0</v>
      </c>
      <c r="E234" s="230">
        <f>SUM(E235:E236)</f>
        <v>0</v>
      </c>
      <c r="F234" s="231" t="str">
        <f t="shared" si="3"/>
        <v>-</v>
      </c>
    </row>
    <row r="235" spans="1:6" s="7" customFormat="1" x14ac:dyDescent="0.2">
      <c r="A235" s="220">
        <v>3621</v>
      </c>
      <c r="B235" s="221" t="s">
        <v>3017</v>
      </c>
      <c r="C235" s="222">
        <v>224</v>
      </c>
      <c r="D235" s="223"/>
      <c r="E235" s="223"/>
      <c r="F235" s="229" t="str">
        <f t="shared" si="3"/>
        <v>-</v>
      </c>
    </row>
    <row r="236" spans="1:6" s="7" customFormat="1" x14ac:dyDescent="0.2">
      <c r="A236" s="220">
        <v>3622</v>
      </c>
      <c r="B236" s="221" t="s">
        <v>3816</v>
      </c>
      <c r="C236" s="222">
        <v>225</v>
      </c>
      <c r="D236" s="223"/>
      <c r="E236" s="223"/>
      <c r="F236" s="229" t="str">
        <f t="shared" si="3"/>
        <v>-</v>
      </c>
    </row>
    <row r="237" spans="1:6" s="7" customFormat="1" x14ac:dyDescent="0.2">
      <c r="A237" s="220">
        <v>363</v>
      </c>
      <c r="B237" s="221" t="s">
        <v>3645</v>
      </c>
      <c r="C237" s="222">
        <v>226</v>
      </c>
      <c r="D237" s="230">
        <f>SUM(D238:D241)</f>
        <v>35679</v>
      </c>
      <c r="E237" s="230">
        <f>SUM(E238:E241)</f>
        <v>59113</v>
      </c>
      <c r="F237" s="231">
        <f t="shared" si="3"/>
        <v>165.68009193082767</v>
      </c>
    </row>
    <row r="238" spans="1:6" s="7" customFormat="1" x14ac:dyDescent="0.2">
      <c r="A238" s="220">
        <v>3631</v>
      </c>
      <c r="B238" s="221" t="s">
        <v>3317</v>
      </c>
      <c r="C238" s="222">
        <v>227</v>
      </c>
      <c r="D238" s="223">
        <v>35679</v>
      </c>
      <c r="E238" s="223">
        <v>38280</v>
      </c>
      <c r="F238" s="229">
        <f t="shared" si="3"/>
        <v>107.29000252249222</v>
      </c>
    </row>
    <row r="239" spans="1:6" s="7" customFormat="1" x14ac:dyDescent="0.2">
      <c r="A239" s="220">
        <v>3632</v>
      </c>
      <c r="B239" s="221" t="s">
        <v>1294</v>
      </c>
      <c r="C239" s="222">
        <v>228</v>
      </c>
      <c r="D239" s="223"/>
      <c r="E239" s="223">
        <v>20833</v>
      </c>
      <c r="F239" s="229" t="str">
        <f t="shared" si="3"/>
        <v>-</v>
      </c>
    </row>
    <row r="240" spans="1:6" s="7" customFormat="1" x14ac:dyDescent="0.2">
      <c r="A240" s="220" t="s">
        <v>1037</v>
      </c>
      <c r="B240" s="221" t="s">
        <v>1039</v>
      </c>
      <c r="C240" s="222">
        <v>229</v>
      </c>
      <c r="D240" s="223"/>
      <c r="E240" s="223"/>
      <c r="F240" s="229" t="str">
        <f>IF(D240&lt;&gt;0,IF(E240/D240&gt;=100,"&gt;&gt;100",E240/D240*100),"-")</f>
        <v>-</v>
      </c>
    </row>
    <row r="241" spans="1:6" s="7" customFormat="1" x14ac:dyDescent="0.2">
      <c r="A241" s="220" t="s">
        <v>1038</v>
      </c>
      <c r="B241" s="221" t="s">
        <v>1040</v>
      </c>
      <c r="C241" s="222">
        <v>230</v>
      </c>
      <c r="D241" s="223"/>
      <c r="E241" s="223"/>
      <c r="F241" s="229" t="str">
        <f>IF(D241&lt;&gt;0,IF(E241/D241&gt;=100,"&gt;&gt;100",E241/D241*100),"-")</f>
        <v>-</v>
      </c>
    </row>
    <row r="242" spans="1:6" s="7" customFormat="1" x14ac:dyDescent="0.2">
      <c r="A242" s="220" t="s">
        <v>2210</v>
      </c>
      <c r="B242" s="221" t="s">
        <v>3646</v>
      </c>
      <c r="C242" s="222">
        <v>231</v>
      </c>
      <c r="D242" s="230">
        <f>SUM(D243:D245)</f>
        <v>11883</v>
      </c>
      <c r="E242" s="230">
        <f>SUM(E243:E245)</f>
        <v>0</v>
      </c>
      <c r="F242" s="231">
        <f t="shared" si="3"/>
        <v>0</v>
      </c>
    </row>
    <row r="243" spans="1:6" s="7" customFormat="1" x14ac:dyDescent="0.2">
      <c r="A243" s="220" t="s">
        <v>3916</v>
      </c>
      <c r="B243" s="221" t="s">
        <v>3917</v>
      </c>
      <c r="C243" s="222">
        <v>232</v>
      </c>
      <c r="D243" s="223">
        <v>11883</v>
      </c>
      <c r="E243" s="223"/>
      <c r="F243" s="229">
        <f t="shared" si="3"/>
        <v>0</v>
      </c>
    </row>
    <row r="244" spans="1:6" s="7" customFormat="1" x14ac:dyDescent="0.2">
      <c r="A244" s="220" t="s">
        <v>3918</v>
      </c>
      <c r="B244" s="221" t="s">
        <v>3919</v>
      </c>
      <c r="C244" s="222">
        <v>233</v>
      </c>
      <c r="D244" s="223"/>
      <c r="E244" s="223"/>
      <c r="F244" s="229" t="str">
        <f t="shared" si="3"/>
        <v>-</v>
      </c>
    </row>
    <row r="245" spans="1:6" s="7" customFormat="1" x14ac:dyDescent="0.2">
      <c r="A245" s="220" t="s">
        <v>1041</v>
      </c>
      <c r="B245" s="221" t="s">
        <v>1042</v>
      </c>
      <c r="C245" s="222">
        <v>234</v>
      </c>
      <c r="D245" s="223"/>
      <c r="E245" s="223"/>
      <c r="F245" s="229" t="str">
        <f>IF(D245&lt;&gt;0,IF(E245/D245&gt;=100,"&gt;&gt;100",E245/D245*100),"-")</f>
        <v>-</v>
      </c>
    </row>
    <row r="246" spans="1:6" s="7" customFormat="1" ht="24" x14ac:dyDescent="0.2">
      <c r="A246" s="220" t="s">
        <v>3920</v>
      </c>
      <c r="B246" s="221" t="s">
        <v>3647</v>
      </c>
      <c r="C246" s="222">
        <v>235</v>
      </c>
      <c r="D246" s="230">
        <f>SUM(D247:D249)</f>
        <v>592684</v>
      </c>
      <c r="E246" s="230">
        <f>SUM(E247:E249)</f>
        <v>699420</v>
      </c>
      <c r="F246" s="231">
        <f t="shared" si="3"/>
        <v>118.00892212376242</v>
      </c>
    </row>
    <row r="247" spans="1:6" s="7" customFormat="1" ht="24" x14ac:dyDescent="0.2">
      <c r="A247" s="220">
        <v>3672</v>
      </c>
      <c r="B247" s="221" t="s">
        <v>2765</v>
      </c>
      <c r="C247" s="222">
        <v>236</v>
      </c>
      <c r="D247" s="223">
        <v>592684</v>
      </c>
      <c r="E247" s="223">
        <v>699420</v>
      </c>
      <c r="F247" s="229">
        <f t="shared" si="3"/>
        <v>118.00892212376242</v>
      </c>
    </row>
    <row r="248" spans="1:6" s="7" customFormat="1" ht="24" x14ac:dyDescent="0.2">
      <c r="A248" s="220">
        <v>3673</v>
      </c>
      <c r="B248" s="221" t="s">
        <v>2766</v>
      </c>
      <c r="C248" s="222">
        <v>237</v>
      </c>
      <c r="D248" s="223"/>
      <c r="E248" s="223"/>
      <c r="F248" s="229" t="str">
        <f>IF(D248&lt;&gt;0,IF(E248/D248&gt;=100,"&gt;&gt;100",E248/D248*100),"-")</f>
        <v>-</v>
      </c>
    </row>
    <row r="249" spans="1:6" s="7" customFormat="1" ht="24" x14ac:dyDescent="0.2">
      <c r="A249" s="220">
        <v>3674</v>
      </c>
      <c r="B249" s="221" t="s">
        <v>4122</v>
      </c>
      <c r="C249" s="222">
        <v>238</v>
      </c>
      <c r="D249" s="223"/>
      <c r="E249" s="223"/>
      <c r="F249" s="229" t="str">
        <f>IF(D249&lt;&gt;0,IF(E249/D249&gt;=100,"&gt;&gt;100",E249/D249*100),"-")</f>
        <v>-</v>
      </c>
    </row>
    <row r="250" spans="1:6" s="7" customFormat="1" x14ac:dyDescent="0.2">
      <c r="A250" s="220" t="s">
        <v>3601</v>
      </c>
      <c r="B250" s="221" t="s">
        <v>3649</v>
      </c>
      <c r="C250" s="222">
        <v>239</v>
      </c>
      <c r="D250" s="230">
        <f>SUM(D251:D252)</f>
        <v>0</v>
      </c>
      <c r="E250" s="230">
        <f>SUM(E251:E252)</f>
        <v>0</v>
      </c>
      <c r="F250" s="231" t="str">
        <f t="shared" si="3"/>
        <v>-</v>
      </c>
    </row>
    <row r="251" spans="1:6" s="7" customFormat="1" x14ac:dyDescent="0.2">
      <c r="A251" s="220" t="s">
        <v>960</v>
      </c>
      <c r="B251" s="221" t="s">
        <v>961</v>
      </c>
      <c r="C251" s="222">
        <v>240</v>
      </c>
      <c r="D251" s="223"/>
      <c r="E251" s="223"/>
      <c r="F251" s="229" t="str">
        <f t="shared" si="3"/>
        <v>-</v>
      </c>
    </row>
    <row r="252" spans="1:6" s="7" customFormat="1" x14ac:dyDescent="0.2">
      <c r="A252" s="220" t="s">
        <v>962</v>
      </c>
      <c r="B252" s="221" t="s">
        <v>963</v>
      </c>
      <c r="C252" s="222">
        <v>241</v>
      </c>
      <c r="D252" s="223"/>
      <c r="E252" s="223"/>
      <c r="F252" s="229" t="str">
        <f t="shared" si="3"/>
        <v>-</v>
      </c>
    </row>
    <row r="253" spans="1:6" s="7" customFormat="1" x14ac:dyDescent="0.2">
      <c r="A253" s="220" t="s">
        <v>4123</v>
      </c>
      <c r="B253" s="221" t="s">
        <v>3648</v>
      </c>
      <c r="C253" s="222">
        <v>242</v>
      </c>
      <c r="D253" s="230">
        <f>SUM(D254:D257)</f>
        <v>0</v>
      </c>
      <c r="E253" s="230">
        <f>SUM(E254:E257)</f>
        <v>0</v>
      </c>
      <c r="F253" s="229" t="str">
        <f t="shared" si="3"/>
        <v>-</v>
      </c>
    </row>
    <row r="254" spans="1:6" s="7" customFormat="1" x14ac:dyDescent="0.2">
      <c r="A254" s="220" t="s">
        <v>4124</v>
      </c>
      <c r="B254" s="221" t="s">
        <v>3736</v>
      </c>
      <c r="C254" s="222">
        <v>243</v>
      </c>
      <c r="D254" s="223"/>
      <c r="E254" s="223"/>
      <c r="F254" s="229" t="str">
        <f>IF(D254&lt;&gt;0,IF(E254/D254&gt;=100,"&gt;&gt;100",E254/D254*100),"-")</f>
        <v>-</v>
      </c>
    </row>
    <row r="255" spans="1:6" s="7" customFormat="1" x14ac:dyDescent="0.2">
      <c r="A255" s="220" t="s">
        <v>4125</v>
      </c>
      <c r="B255" s="221" t="s">
        <v>3737</v>
      </c>
      <c r="C255" s="222">
        <v>244</v>
      </c>
      <c r="D255" s="223"/>
      <c r="E255" s="223"/>
      <c r="F255" s="229" t="str">
        <f>IF(D255&lt;&gt;0,IF(E255/D255&gt;=100,"&gt;&gt;100",E255/D255*100),"-")</f>
        <v>-</v>
      </c>
    </row>
    <row r="256" spans="1:6" s="7" customFormat="1" ht="24" x14ac:dyDescent="0.2">
      <c r="A256" s="220" t="s">
        <v>4126</v>
      </c>
      <c r="B256" s="221" t="s">
        <v>2005</v>
      </c>
      <c r="C256" s="222">
        <v>245</v>
      </c>
      <c r="D256" s="223"/>
      <c r="E256" s="223"/>
      <c r="F256" s="229" t="str">
        <f>IF(D256&lt;&gt;0,IF(E256/D256&gt;=100,"&gt;&gt;100",E256/D256*100),"-")</f>
        <v>-</v>
      </c>
    </row>
    <row r="257" spans="1:6" s="7" customFormat="1" ht="24" x14ac:dyDescent="0.2">
      <c r="A257" s="220" t="s">
        <v>4127</v>
      </c>
      <c r="B257" s="221" t="s">
        <v>2006</v>
      </c>
      <c r="C257" s="222">
        <v>246</v>
      </c>
      <c r="D257" s="223"/>
      <c r="E257" s="223"/>
      <c r="F257" s="229" t="str">
        <f>IF(D257&lt;&gt;0,IF(E257/D257&gt;=100,"&gt;&gt;100",E257/D257*100),"-")</f>
        <v>-</v>
      </c>
    </row>
    <row r="258" spans="1:6" s="7" customFormat="1" x14ac:dyDescent="0.2">
      <c r="A258" s="220">
        <v>37</v>
      </c>
      <c r="B258" s="362" t="s">
        <v>3650</v>
      </c>
      <c r="C258" s="222">
        <v>247</v>
      </c>
      <c r="D258" s="230">
        <f>D259+D265</f>
        <v>284569</v>
      </c>
      <c r="E258" s="230">
        <f>E259+E265</f>
        <v>216092</v>
      </c>
      <c r="F258" s="231">
        <f t="shared" si="3"/>
        <v>75.936591828343907</v>
      </c>
    </row>
    <row r="259" spans="1:6" s="7" customFormat="1" x14ac:dyDescent="0.2">
      <c r="A259" s="220">
        <v>371</v>
      </c>
      <c r="B259" s="221" t="s">
        <v>3651</v>
      </c>
      <c r="C259" s="222">
        <v>248</v>
      </c>
      <c r="D259" s="230">
        <f>SUM(D260:D264)</f>
        <v>0</v>
      </c>
      <c r="E259" s="230">
        <f>SUM(E260:E264)</f>
        <v>0</v>
      </c>
      <c r="F259" s="231" t="str">
        <f t="shared" si="3"/>
        <v>-</v>
      </c>
    </row>
    <row r="260" spans="1:6" s="7" customFormat="1" ht="24" x14ac:dyDescent="0.2">
      <c r="A260" s="220">
        <v>3711</v>
      </c>
      <c r="B260" s="221" t="s">
        <v>3047</v>
      </c>
      <c r="C260" s="222">
        <v>249</v>
      </c>
      <c r="D260" s="223"/>
      <c r="E260" s="223"/>
      <c r="F260" s="229" t="str">
        <f t="shared" si="3"/>
        <v>-</v>
      </c>
    </row>
    <row r="261" spans="1:6" s="7" customFormat="1" ht="24" x14ac:dyDescent="0.2">
      <c r="A261" s="220">
        <v>3712</v>
      </c>
      <c r="B261" s="221" t="s">
        <v>3048</v>
      </c>
      <c r="C261" s="222">
        <v>250</v>
      </c>
      <c r="D261" s="223"/>
      <c r="E261" s="223"/>
      <c r="F261" s="229" t="str">
        <f t="shared" si="3"/>
        <v>-</v>
      </c>
    </row>
    <row r="262" spans="1:6" s="7" customFormat="1" x14ac:dyDescent="0.2">
      <c r="A262" s="220" t="s">
        <v>3049</v>
      </c>
      <c r="B262" s="221" t="s">
        <v>3050</v>
      </c>
      <c r="C262" s="222">
        <v>251</v>
      </c>
      <c r="D262" s="223"/>
      <c r="E262" s="223"/>
      <c r="F262" s="229" t="str">
        <f t="shared" si="3"/>
        <v>-</v>
      </c>
    </row>
    <row r="263" spans="1:6" s="7" customFormat="1" x14ac:dyDescent="0.2">
      <c r="A263" s="220" t="s">
        <v>3051</v>
      </c>
      <c r="B263" s="221" t="s">
        <v>3052</v>
      </c>
      <c r="C263" s="222">
        <v>252</v>
      </c>
      <c r="D263" s="223"/>
      <c r="E263" s="223"/>
      <c r="F263" s="229" t="str">
        <f t="shared" si="3"/>
        <v>-</v>
      </c>
    </row>
    <row r="264" spans="1:6" s="7" customFormat="1" x14ac:dyDescent="0.2">
      <c r="A264" s="220" t="s">
        <v>4128</v>
      </c>
      <c r="B264" s="221" t="s">
        <v>2852</v>
      </c>
      <c r="C264" s="222">
        <v>253</v>
      </c>
      <c r="D264" s="223"/>
      <c r="E264" s="223"/>
      <c r="F264" s="229" t="str">
        <f>IF(D264&lt;&gt;0,IF(E264/D264&gt;=100,"&gt;&gt;100",E264/D264*100),"-")</f>
        <v>-</v>
      </c>
    </row>
    <row r="265" spans="1:6" s="7" customFormat="1" x14ac:dyDescent="0.2">
      <c r="A265" s="220">
        <v>372</v>
      </c>
      <c r="B265" s="221" t="s">
        <v>3652</v>
      </c>
      <c r="C265" s="222">
        <v>254</v>
      </c>
      <c r="D265" s="230">
        <f>SUM(D266:D268)</f>
        <v>284569</v>
      </c>
      <c r="E265" s="230">
        <f>SUM(E266:E268)</f>
        <v>216092</v>
      </c>
      <c r="F265" s="231">
        <f t="shared" si="3"/>
        <v>75.936591828343907</v>
      </c>
    </row>
    <row r="266" spans="1:6" s="7" customFormat="1" x14ac:dyDescent="0.2">
      <c r="A266" s="220">
        <v>3721</v>
      </c>
      <c r="B266" s="221" t="s">
        <v>2208</v>
      </c>
      <c r="C266" s="222">
        <v>255</v>
      </c>
      <c r="D266" s="223">
        <v>210550</v>
      </c>
      <c r="E266" s="223">
        <v>173000</v>
      </c>
      <c r="F266" s="229">
        <f t="shared" si="3"/>
        <v>82.165756352410355</v>
      </c>
    </row>
    <row r="267" spans="1:6" s="7" customFormat="1" x14ac:dyDescent="0.2">
      <c r="A267" s="220">
        <v>3722</v>
      </c>
      <c r="B267" s="221" t="s">
        <v>2207</v>
      </c>
      <c r="C267" s="222">
        <v>256</v>
      </c>
      <c r="D267" s="223">
        <v>74019</v>
      </c>
      <c r="E267" s="223">
        <v>43092</v>
      </c>
      <c r="F267" s="229">
        <f t="shared" si="3"/>
        <v>58.217484699874355</v>
      </c>
    </row>
    <row r="268" spans="1:6" s="7" customFormat="1" x14ac:dyDescent="0.2">
      <c r="A268" s="220" t="s">
        <v>2853</v>
      </c>
      <c r="B268" s="221" t="s">
        <v>2854</v>
      </c>
      <c r="C268" s="222">
        <v>257</v>
      </c>
      <c r="D268" s="223"/>
      <c r="E268" s="223"/>
      <c r="F268" s="229" t="str">
        <f>IF(D268&lt;&gt;0,IF(E268/D268&gt;=100,"&gt;&gt;100",E268/D268*100),"-")</f>
        <v>-</v>
      </c>
    </row>
    <row r="269" spans="1:6" s="7" customFormat="1" x14ac:dyDescent="0.2">
      <c r="A269" s="220">
        <v>38</v>
      </c>
      <c r="B269" s="221" t="s">
        <v>3653</v>
      </c>
      <c r="C269" s="222">
        <v>258</v>
      </c>
      <c r="D269" s="230">
        <f>D270+D274+D279+D285</f>
        <v>235217</v>
      </c>
      <c r="E269" s="230">
        <f>E270+E274+E279+E285</f>
        <v>250437</v>
      </c>
      <c r="F269" s="231">
        <f t="shared" si="3"/>
        <v>106.47062074594949</v>
      </c>
    </row>
    <row r="270" spans="1:6" s="7" customFormat="1" x14ac:dyDescent="0.2">
      <c r="A270" s="220">
        <v>381</v>
      </c>
      <c r="B270" s="221" t="s">
        <v>3802</v>
      </c>
      <c r="C270" s="222">
        <v>259</v>
      </c>
      <c r="D270" s="230">
        <f>SUM(D271:D273)</f>
        <v>235217</v>
      </c>
      <c r="E270" s="230">
        <f>SUM(E271:E273)</f>
        <v>250437</v>
      </c>
      <c r="F270" s="231">
        <f t="shared" si="3"/>
        <v>106.47062074594949</v>
      </c>
    </row>
    <row r="271" spans="1:6" s="7" customFormat="1" x14ac:dyDescent="0.2">
      <c r="A271" s="220">
        <v>3811</v>
      </c>
      <c r="B271" s="221" t="s">
        <v>2617</v>
      </c>
      <c r="C271" s="222">
        <v>260</v>
      </c>
      <c r="D271" s="223">
        <v>235217</v>
      </c>
      <c r="E271" s="223">
        <f>235087+3000+12350</f>
        <v>250437</v>
      </c>
      <c r="F271" s="229">
        <f t="shared" ref="F271:F302" si="4">IF(D271&lt;&gt;0,IF(E271/D271&gt;=100,"&gt;&gt;100",E271/D271*100),"-")</f>
        <v>106.47062074594949</v>
      </c>
    </row>
    <row r="272" spans="1:6" s="7" customFormat="1" x14ac:dyDescent="0.2">
      <c r="A272" s="220">
        <v>3812</v>
      </c>
      <c r="B272" s="221" t="s">
        <v>561</v>
      </c>
      <c r="C272" s="222">
        <v>261</v>
      </c>
      <c r="D272" s="223"/>
      <c r="E272" s="223"/>
      <c r="F272" s="229" t="str">
        <f t="shared" si="4"/>
        <v>-</v>
      </c>
    </row>
    <row r="273" spans="1:6" s="7" customFormat="1" x14ac:dyDescent="0.2">
      <c r="A273" s="220" t="s">
        <v>3974</v>
      </c>
      <c r="B273" s="221" t="s">
        <v>3975</v>
      </c>
      <c r="C273" s="222">
        <v>262</v>
      </c>
      <c r="D273" s="223"/>
      <c r="E273" s="223"/>
      <c r="F273" s="229" t="str">
        <f>IF(D273&lt;&gt;0,IF(E273/D273&gt;=100,"&gt;&gt;100",E273/D273*100),"-")</f>
        <v>-</v>
      </c>
    </row>
    <row r="274" spans="1:6" s="7" customFormat="1" x14ac:dyDescent="0.2">
      <c r="A274" s="220">
        <v>382</v>
      </c>
      <c r="B274" s="221" t="s">
        <v>3654</v>
      </c>
      <c r="C274" s="222">
        <v>263</v>
      </c>
      <c r="D274" s="230">
        <f>SUM(D275:D278)</f>
        <v>0</v>
      </c>
      <c r="E274" s="230">
        <f>SUM(E275:E278)</f>
        <v>0</v>
      </c>
      <c r="F274" s="231" t="str">
        <f t="shared" si="4"/>
        <v>-</v>
      </c>
    </row>
    <row r="275" spans="1:6" s="7" customFormat="1" x14ac:dyDescent="0.2">
      <c r="A275" s="220">
        <v>3821</v>
      </c>
      <c r="B275" s="221" t="s">
        <v>562</v>
      </c>
      <c r="C275" s="222">
        <v>264</v>
      </c>
      <c r="D275" s="223"/>
      <c r="E275" s="223"/>
      <c r="F275" s="229" t="str">
        <f t="shared" si="4"/>
        <v>-</v>
      </c>
    </row>
    <row r="276" spans="1:6" s="7" customFormat="1" x14ac:dyDescent="0.2">
      <c r="A276" s="220">
        <v>3822</v>
      </c>
      <c r="B276" s="221" t="s">
        <v>563</v>
      </c>
      <c r="C276" s="222">
        <v>265</v>
      </c>
      <c r="D276" s="223"/>
      <c r="E276" s="223"/>
      <c r="F276" s="229" t="str">
        <f t="shared" si="4"/>
        <v>-</v>
      </c>
    </row>
    <row r="277" spans="1:6" s="7" customFormat="1" x14ac:dyDescent="0.2">
      <c r="A277" s="220" t="s">
        <v>3976</v>
      </c>
      <c r="B277" s="221" t="s">
        <v>3977</v>
      </c>
      <c r="C277" s="222">
        <v>266</v>
      </c>
      <c r="D277" s="223"/>
      <c r="E277" s="223"/>
      <c r="F277" s="229" t="str">
        <f>IF(D277&lt;&gt;0,IF(E277/D277&gt;=100,"&gt;&gt;100",E277/D277*100),"-")</f>
        <v>-</v>
      </c>
    </row>
    <row r="278" spans="1:6" s="7" customFormat="1" ht="24" x14ac:dyDescent="0.2">
      <c r="A278" s="220" t="s">
        <v>1043</v>
      </c>
      <c r="B278" s="221" t="s">
        <v>1044</v>
      </c>
      <c r="C278" s="222">
        <v>267</v>
      </c>
      <c r="D278" s="223"/>
      <c r="E278" s="223"/>
      <c r="F278" s="229" t="str">
        <f>IF(D278&lt;&gt;0,IF(E278/D278&gt;=100,"&gt;&gt;100",E278/D278*100),"-")</f>
        <v>-</v>
      </c>
    </row>
    <row r="279" spans="1:6" s="7" customFormat="1" x14ac:dyDescent="0.2">
      <c r="A279" s="220">
        <v>383</v>
      </c>
      <c r="B279" s="221" t="s">
        <v>3655</v>
      </c>
      <c r="C279" s="222">
        <v>268</v>
      </c>
      <c r="D279" s="230">
        <f>SUM(D280:D284)</f>
        <v>0</v>
      </c>
      <c r="E279" s="230">
        <f>SUM(E280:E284)</f>
        <v>0</v>
      </c>
      <c r="F279" s="231" t="str">
        <f t="shared" si="4"/>
        <v>-</v>
      </c>
    </row>
    <row r="280" spans="1:6" s="7" customFormat="1" x14ac:dyDescent="0.2">
      <c r="A280" s="220">
        <v>3831</v>
      </c>
      <c r="B280" s="221" t="s">
        <v>2331</v>
      </c>
      <c r="C280" s="222">
        <v>269</v>
      </c>
      <c r="D280" s="223"/>
      <c r="E280" s="223"/>
      <c r="F280" s="229" t="str">
        <f t="shared" si="4"/>
        <v>-</v>
      </c>
    </row>
    <row r="281" spans="1:6" s="7" customFormat="1" x14ac:dyDescent="0.2">
      <c r="A281" s="220">
        <v>3832</v>
      </c>
      <c r="B281" s="221" t="s">
        <v>564</v>
      </c>
      <c r="C281" s="222">
        <v>270</v>
      </c>
      <c r="D281" s="223"/>
      <c r="E281" s="223"/>
      <c r="F281" s="229" t="str">
        <f t="shared" si="4"/>
        <v>-</v>
      </c>
    </row>
    <row r="282" spans="1:6" s="7" customFormat="1" x14ac:dyDescent="0.2">
      <c r="A282" s="220">
        <v>3833</v>
      </c>
      <c r="B282" s="221" t="s">
        <v>1137</v>
      </c>
      <c r="C282" s="222">
        <v>271</v>
      </c>
      <c r="D282" s="223"/>
      <c r="E282" s="223"/>
      <c r="F282" s="229" t="str">
        <f t="shared" si="4"/>
        <v>-</v>
      </c>
    </row>
    <row r="283" spans="1:6" s="7" customFormat="1" x14ac:dyDescent="0.2">
      <c r="A283" s="220">
        <v>3834</v>
      </c>
      <c r="B283" s="221" t="s">
        <v>1138</v>
      </c>
      <c r="C283" s="222">
        <v>272</v>
      </c>
      <c r="D283" s="223"/>
      <c r="E283" s="223"/>
      <c r="F283" s="229" t="str">
        <f t="shared" si="4"/>
        <v>-</v>
      </c>
    </row>
    <row r="284" spans="1:6" s="7" customFormat="1" x14ac:dyDescent="0.2">
      <c r="A284" s="220" t="s">
        <v>3973</v>
      </c>
      <c r="B284" s="221" t="s">
        <v>3932</v>
      </c>
      <c r="C284" s="222">
        <v>273</v>
      </c>
      <c r="D284" s="223"/>
      <c r="E284" s="223"/>
      <c r="F284" s="229" t="str">
        <f t="shared" si="4"/>
        <v>-</v>
      </c>
    </row>
    <row r="285" spans="1:6" s="7" customFormat="1" x14ac:dyDescent="0.2">
      <c r="A285" s="220">
        <v>386</v>
      </c>
      <c r="B285" s="221" t="s">
        <v>1059</v>
      </c>
      <c r="C285" s="222">
        <v>274</v>
      </c>
      <c r="D285" s="230">
        <f>SUM(D286:D290)</f>
        <v>0</v>
      </c>
      <c r="E285" s="230">
        <f>SUM(E286:E290)</f>
        <v>0</v>
      </c>
      <c r="F285" s="231" t="str">
        <f t="shared" si="4"/>
        <v>-</v>
      </c>
    </row>
    <row r="286" spans="1:6" s="7" customFormat="1" ht="24" x14ac:dyDescent="0.2">
      <c r="A286" s="220">
        <v>3861</v>
      </c>
      <c r="B286" s="221" t="s">
        <v>1139</v>
      </c>
      <c r="C286" s="222">
        <v>275</v>
      </c>
      <c r="D286" s="223"/>
      <c r="E286" s="223"/>
      <c r="F286" s="229" t="str">
        <f t="shared" si="4"/>
        <v>-</v>
      </c>
    </row>
    <row r="287" spans="1:6" s="7" customFormat="1" ht="24" x14ac:dyDescent="0.2">
      <c r="A287" s="220">
        <v>3862</v>
      </c>
      <c r="B287" s="221" t="s">
        <v>952</v>
      </c>
      <c r="C287" s="222">
        <v>276</v>
      </c>
      <c r="D287" s="223"/>
      <c r="E287" s="223"/>
      <c r="F287" s="229" t="str">
        <f t="shared" si="4"/>
        <v>-</v>
      </c>
    </row>
    <row r="288" spans="1:6" s="7" customFormat="1" x14ac:dyDescent="0.2">
      <c r="A288" s="220">
        <v>3863</v>
      </c>
      <c r="B288" s="221" t="s">
        <v>953</v>
      </c>
      <c r="C288" s="222">
        <v>277</v>
      </c>
      <c r="D288" s="223"/>
      <c r="E288" s="223"/>
      <c r="F288" s="229" t="str">
        <f t="shared" si="4"/>
        <v>-</v>
      </c>
    </row>
    <row r="289" spans="1:6" s="7" customFormat="1" x14ac:dyDescent="0.2">
      <c r="A289" s="220" t="s">
        <v>3978</v>
      </c>
      <c r="B289" s="221" t="s">
        <v>3979</v>
      </c>
      <c r="C289" s="222">
        <v>278</v>
      </c>
      <c r="D289" s="223"/>
      <c r="E289" s="223"/>
      <c r="F289" s="229" t="str">
        <f>IF(D289&lt;&gt;0,IF(E289/D289&gt;=100,"&gt;&gt;100",E289/D289*100),"-")</f>
        <v>-</v>
      </c>
    </row>
    <row r="290" spans="1:6" s="7" customFormat="1" x14ac:dyDescent="0.2">
      <c r="A290" s="220" t="s">
        <v>1045</v>
      </c>
      <c r="B290" s="221" t="s">
        <v>1046</v>
      </c>
      <c r="C290" s="222">
        <v>279</v>
      </c>
      <c r="D290" s="223"/>
      <c r="E290" s="223"/>
      <c r="F290" s="229" t="str">
        <f>IF(D290&lt;&gt;0,IF(E290/D290&gt;=100,"&gt;&gt;100",E290/D290*100),"-")</f>
        <v>-</v>
      </c>
    </row>
    <row r="291" spans="1:6" s="7" customFormat="1" x14ac:dyDescent="0.2">
      <c r="A291" s="220" t="s">
        <v>3874</v>
      </c>
      <c r="B291" s="221" t="s">
        <v>3875</v>
      </c>
      <c r="C291" s="222">
        <v>280</v>
      </c>
      <c r="D291" s="223"/>
      <c r="E291" s="223"/>
      <c r="F291" s="229" t="str">
        <f t="shared" si="4"/>
        <v>-</v>
      </c>
    </row>
    <row r="292" spans="1:6" s="7" customFormat="1" x14ac:dyDescent="0.2">
      <c r="A292" s="220" t="s">
        <v>3874</v>
      </c>
      <c r="B292" s="221" t="s">
        <v>3269</v>
      </c>
      <c r="C292" s="222">
        <v>281</v>
      </c>
      <c r="D292" s="223"/>
      <c r="E292" s="223"/>
      <c r="F292" s="229" t="str">
        <f t="shared" si="4"/>
        <v>-</v>
      </c>
    </row>
    <row r="293" spans="1:6" s="7" customFormat="1" x14ac:dyDescent="0.2">
      <c r="A293" s="220" t="s">
        <v>3874</v>
      </c>
      <c r="B293" s="221" t="s">
        <v>1060</v>
      </c>
      <c r="C293" s="222">
        <v>282</v>
      </c>
      <c r="D293" s="230">
        <f>IF(D292&gt;=D291,D292-D291,0)</f>
        <v>0</v>
      </c>
      <c r="E293" s="230">
        <f>IF(E292&gt;=E291,E292-E291,0)</f>
        <v>0</v>
      </c>
      <c r="F293" s="231" t="str">
        <f t="shared" si="4"/>
        <v>-</v>
      </c>
    </row>
    <row r="294" spans="1:6" s="7" customFormat="1" x14ac:dyDescent="0.2">
      <c r="A294" s="220" t="s">
        <v>3874</v>
      </c>
      <c r="B294" s="221" t="s">
        <v>1061</v>
      </c>
      <c r="C294" s="222">
        <v>283</v>
      </c>
      <c r="D294" s="230">
        <f>IF(D291&gt;=D292,D291-D292,0)</f>
        <v>0</v>
      </c>
      <c r="E294" s="230">
        <f>IF(E291&gt;=E292,E291-E292,0)</f>
        <v>0</v>
      </c>
      <c r="F294" s="231" t="str">
        <f t="shared" si="4"/>
        <v>-</v>
      </c>
    </row>
    <row r="295" spans="1:6" s="7" customFormat="1" x14ac:dyDescent="0.2">
      <c r="A295" s="220" t="s">
        <v>3874</v>
      </c>
      <c r="B295" s="221" t="s">
        <v>1062</v>
      </c>
      <c r="C295" s="222">
        <v>284</v>
      </c>
      <c r="D295" s="230">
        <f>D157-D293+D294</f>
        <v>3545839</v>
      </c>
      <c r="E295" s="230">
        <f>E157-E293+E294</f>
        <v>3383955</v>
      </c>
      <c r="F295" s="231">
        <f t="shared" si="4"/>
        <v>95.434536085817768</v>
      </c>
    </row>
    <row r="296" spans="1:6" s="7" customFormat="1" x14ac:dyDescent="0.2">
      <c r="A296" s="220" t="s">
        <v>3874</v>
      </c>
      <c r="B296" s="221" t="s">
        <v>1063</v>
      </c>
      <c r="C296" s="222">
        <v>285</v>
      </c>
      <c r="D296" s="230">
        <f>IF(D12&gt;=D295,D12-D295,0)</f>
        <v>2525605</v>
      </c>
      <c r="E296" s="230">
        <f>IF(E12&gt;=E295,E12-E295,0)</f>
        <v>1757221</v>
      </c>
      <c r="F296" s="231">
        <f t="shared" si="4"/>
        <v>69.576240148400075</v>
      </c>
    </row>
    <row r="297" spans="1:6" s="7" customFormat="1" x14ac:dyDescent="0.2">
      <c r="A297" s="220" t="s">
        <v>3874</v>
      </c>
      <c r="B297" s="221" t="s">
        <v>1064</v>
      </c>
      <c r="C297" s="222">
        <v>286</v>
      </c>
      <c r="D297" s="230">
        <f>IF(D295&gt;=D12,D295-D12,0)</f>
        <v>0</v>
      </c>
      <c r="E297" s="230">
        <f>IF(E295&gt;=E12,E295-E12,0)</f>
        <v>0</v>
      </c>
      <c r="F297" s="231" t="str">
        <f t="shared" si="4"/>
        <v>-</v>
      </c>
    </row>
    <row r="298" spans="1:6" s="7" customFormat="1" x14ac:dyDescent="0.2">
      <c r="A298" s="220">
        <v>92211</v>
      </c>
      <c r="B298" s="221" t="s">
        <v>1535</v>
      </c>
      <c r="C298" s="222">
        <v>287</v>
      </c>
      <c r="D298" s="223">
        <v>989212</v>
      </c>
      <c r="E298" s="223">
        <v>2133650</v>
      </c>
      <c r="F298" s="229">
        <f t="shared" si="4"/>
        <v>215.6918840450783</v>
      </c>
    </row>
    <row r="299" spans="1:6" s="7" customFormat="1" x14ac:dyDescent="0.2">
      <c r="A299" s="220">
        <v>92221</v>
      </c>
      <c r="B299" s="221" t="s">
        <v>2560</v>
      </c>
      <c r="C299" s="222">
        <v>288</v>
      </c>
      <c r="D299" s="223"/>
      <c r="E299" s="223"/>
      <c r="F299" s="229" t="str">
        <f t="shared" si="4"/>
        <v>-</v>
      </c>
    </row>
    <row r="300" spans="1:6" s="7" customFormat="1" x14ac:dyDescent="0.2">
      <c r="A300" s="220">
        <v>96</v>
      </c>
      <c r="B300" s="221" t="s">
        <v>1058</v>
      </c>
      <c r="C300" s="222">
        <v>289</v>
      </c>
      <c r="D300" s="223">
        <v>279730</v>
      </c>
      <c r="E300" s="223">
        <v>348023</v>
      </c>
      <c r="F300" s="229">
        <f t="shared" si="4"/>
        <v>124.41389911700568</v>
      </c>
    </row>
    <row r="301" spans="1:6" s="7" customFormat="1" x14ac:dyDescent="0.2">
      <c r="A301" s="220">
        <v>9661</v>
      </c>
      <c r="B301" s="221" t="s">
        <v>2435</v>
      </c>
      <c r="C301" s="222">
        <v>290</v>
      </c>
      <c r="D301" s="223">
        <v>37251</v>
      </c>
      <c r="E301" s="223">
        <v>39719</v>
      </c>
      <c r="F301" s="229">
        <f t="shared" si="4"/>
        <v>106.62532549461758</v>
      </c>
    </row>
    <row r="302" spans="1:6" s="7" customFormat="1" x14ac:dyDescent="0.2">
      <c r="A302" s="225" t="s">
        <v>559</v>
      </c>
      <c r="B302" s="226" t="s">
        <v>560</v>
      </c>
      <c r="C302" s="227">
        <v>291</v>
      </c>
      <c r="D302" s="228"/>
      <c r="E302" s="228"/>
      <c r="F302" s="232" t="str">
        <f t="shared" si="4"/>
        <v>-</v>
      </c>
    </row>
    <row r="303" spans="1:6" s="7" customFormat="1" ht="15" x14ac:dyDescent="0.2">
      <c r="A303" s="450" t="s">
        <v>2563</v>
      </c>
      <c r="B303" s="451"/>
      <c r="C303" s="288"/>
      <c r="D303" s="289"/>
      <c r="E303" s="289"/>
      <c r="F303" s="290"/>
    </row>
    <row r="304" spans="1:6" s="7" customFormat="1" x14ac:dyDescent="0.2">
      <c r="A304" s="220">
        <v>7</v>
      </c>
      <c r="B304" s="221" t="s">
        <v>1065</v>
      </c>
      <c r="C304" s="222">
        <v>292</v>
      </c>
      <c r="D304" s="230">
        <f>D305+D317+D350+D354</f>
        <v>2374</v>
      </c>
      <c r="E304" s="230">
        <f>E305+E317+E350+E354</f>
        <v>15238</v>
      </c>
      <c r="F304" s="231">
        <f t="shared" ref="F304:F367" si="5">IF(D304&lt;&gt;0,IF(E304/D304&gt;=100,"&gt;&gt;100",E304/D304*100),"-")</f>
        <v>641.87026116259483</v>
      </c>
    </row>
    <row r="305" spans="1:6" s="7" customFormat="1" x14ac:dyDescent="0.2">
      <c r="A305" s="220">
        <v>71</v>
      </c>
      <c r="B305" s="221" t="s">
        <v>1066</v>
      </c>
      <c r="C305" s="222">
        <v>293</v>
      </c>
      <c r="D305" s="230">
        <f>D306+D310</f>
        <v>0</v>
      </c>
      <c r="E305" s="230">
        <f>E306+E310</f>
        <v>0</v>
      </c>
      <c r="F305" s="231" t="str">
        <f t="shared" si="5"/>
        <v>-</v>
      </c>
    </row>
    <row r="306" spans="1:6" s="7" customFormat="1" x14ac:dyDescent="0.2">
      <c r="A306" s="220">
        <v>711</v>
      </c>
      <c r="B306" s="221" t="s">
        <v>1067</v>
      </c>
      <c r="C306" s="222">
        <v>294</v>
      </c>
      <c r="D306" s="230">
        <f>SUM(D307:D309)</f>
        <v>0</v>
      </c>
      <c r="E306" s="230">
        <f>SUM(E307:E309)</f>
        <v>0</v>
      </c>
      <c r="F306" s="231" t="str">
        <f t="shared" si="5"/>
        <v>-</v>
      </c>
    </row>
    <row r="307" spans="1:6" s="7" customFormat="1" x14ac:dyDescent="0.2">
      <c r="A307" s="220">
        <v>7111</v>
      </c>
      <c r="B307" s="221" t="s">
        <v>2922</v>
      </c>
      <c r="C307" s="222">
        <v>295</v>
      </c>
      <c r="D307" s="223"/>
      <c r="E307" s="223"/>
      <c r="F307" s="229" t="str">
        <f t="shared" si="5"/>
        <v>-</v>
      </c>
    </row>
    <row r="308" spans="1:6" s="7" customFormat="1" x14ac:dyDescent="0.2">
      <c r="A308" s="220">
        <v>7112</v>
      </c>
      <c r="B308" s="221" t="s">
        <v>2917</v>
      </c>
      <c r="C308" s="222">
        <v>296</v>
      </c>
      <c r="D308" s="223"/>
      <c r="E308" s="223"/>
      <c r="F308" s="229" t="str">
        <f t="shared" si="5"/>
        <v>-</v>
      </c>
    </row>
    <row r="309" spans="1:6" s="7" customFormat="1" x14ac:dyDescent="0.2">
      <c r="A309" s="220">
        <v>7113</v>
      </c>
      <c r="B309" s="221" t="s">
        <v>2918</v>
      </c>
      <c r="C309" s="222">
        <v>297</v>
      </c>
      <c r="D309" s="223"/>
      <c r="E309" s="223"/>
      <c r="F309" s="229" t="str">
        <f t="shared" si="5"/>
        <v>-</v>
      </c>
    </row>
    <row r="310" spans="1:6" s="7" customFormat="1" x14ac:dyDescent="0.2">
      <c r="A310" s="220">
        <v>712</v>
      </c>
      <c r="B310" s="221" t="s">
        <v>3801</v>
      </c>
      <c r="C310" s="222">
        <v>298</v>
      </c>
      <c r="D310" s="230">
        <f>SUM(D311:D316)</f>
        <v>0</v>
      </c>
      <c r="E310" s="230">
        <f>SUM(E311:E316)</f>
        <v>0</v>
      </c>
      <c r="F310" s="231" t="str">
        <f t="shared" si="5"/>
        <v>-</v>
      </c>
    </row>
    <row r="311" spans="1:6" s="7" customFormat="1" x14ac:dyDescent="0.2">
      <c r="A311" s="220">
        <v>7121</v>
      </c>
      <c r="B311" s="221" t="s">
        <v>2919</v>
      </c>
      <c r="C311" s="222">
        <v>299</v>
      </c>
      <c r="D311" s="223"/>
      <c r="E311" s="223"/>
      <c r="F311" s="229" t="str">
        <f t="shared" si="5"/>
        <v>-</v>
      </c>
    </row>
    <row r="312" spans="1:6" s="7" customFormat="1" x14ac:dyDescent="0.2">
      <c r="A312" s="220">
        <v>7122</v>
      </c>
      <c r="B312" s="221" t="s">
        <v>2920</v>
      </c>
      <c r="C312" s="222">
        <v>300</v>
      </c>
      <c r="D312" s="223"/>
      <c r="E312" s="223"/>
      <c r="F312" s="229" t="str">
        <f t="shared" si="5"/>
        <v>-</v>
      </c>
    </row>
    <row r="313" spans="1:6" s="7" customFormat="1" x14ac:dyDescent="0.2">
      <c r="A313" s="220">
        <v>7123</v>
      </c>
      <c r="B313" s="221" t="s">
        <v>2921</v>
      </c>
      <c r="C313" s="222">
        <v>301</v>
      </c>
      <c r="D313" s="223"/>
      <c r="E313" s="223"/>
      <c r="F313" s="229" t="str">
        <f t="shared" si="5"/>
        <v>-</v>
      </c>
    </row>
    <row r="314" spans="1:6" s="7" customFormat="1" x14ac:dyDescent="0.2">
      <c r="A314" s="220">
        <v>7124</v>
      </c>
      <c r="B314" s="221" t="s">
        <v>3501</v>
      </c>
      <c r="C314" s="222">
        <v>302</v>
      </c>
      <c r="D314" s="223"/>
      <c r="E314" s="223"/>
      <c r="F314" s="229" t="str">
        <f t="shared" si="5"/>
        <v>-</v>
      </c>
    </row>
    <row r="315" spans="1:6" s="7" customFormat="1" x14ac:dyDescent="0.2">
      <c r="A315" s="220">
        <v>7125</v>
      </c>
      <c r="B315" s="221" t="s">
        <v>2301</v>
      </c>
      <c r="C315" s="222">
        <v>303</v>
      </c>
      <c r="D315" s="223"/>
      <c r="E315" s="223"/>
      <c r="F315" s="229" t="str">
        <f t="shared" si="5"/>
        <v>-</v>
      </c>
    </row>
    <row r="316" spans="1:6" s="7" customFormat="1" x14ac:dyDescent="0.2">
      <c r="A316" s="220">
        <v>7126</v>
      </c>
      <c r="B316" s="221" t="s">
        <v>3500</v>
      </c>
      <c r="C316" s="222">
        <v>304</v>
      </c>
      <c r="D316" s="223"/>
      <c r="E316" s="223"/>
      <c r="F316" s="229" t="str">
        <f t="shared" si="5"/>
        <v>-</v>
      </c>
    </row>
    <row r="317" spans="1:6" s="7" customFormat="1" x14ac:dyDescent="0.2">
      <c r="A317" s="220">
        <v>72</v>
      </c>
      <c r="B317" s="221" t="s">
        <v>1068</v>
      </c>
      <c r="C317" s="222">
        <v>305</v>
      </c>
      <c r="D317" s="230">
        <f>D318+D323+D332+D337+D342+D345</f>
        <v>2374</v>
      </c>
      <c r="E317" s="230">
        <f>E318+E323+E332+E337+E342+E345</f>
        <v>15238</v>
      </c>
      <c r="F317" s="231">
        <f t="shared" si="5"/>
        <v>641.87026116259483</v>
      </c>
    </row>
    <row r="318" spans="1:6" s="7" customFormat="1" x14ac:dyDescent="0.2">
      <c r="A318" s="220">
        <v>721</v>
      </c>
      <c r="B318" s="221" t="s">
        <v>1069</v>
      </c>
      <c r="C318" s="222">
        <v>306</v>
      </c>
      <c r="D318" s="230">
        <f>SUM(D319:D322)</f>
        <v>2374</v>
      </c>
      <c r="E318" s="230">
        <f>SUM(E319:E322)</f>
        <v>15238</v>
      </c>
      <c r="F318" s="231">
        <f t="shared" si="5"/>
        <v>641.87026116259483</v>
      </c>
    </row>
    <row r="319" spans="1:6" s="7" customFormat="1" x14ac:dyDescent="0.2">
      <c r="A319" s="220">
        <v>7211</v>
      </c>
      <c r="B319" s="221" t="s">
        <v>1706</v>
      </c>
      <c r="C319" s="222">
        <v>307</v>
      </c>
      <c r="D319" s="223">
        <v>2374</v>
      </c>
      <c r="E319" s="223">
        <v>15238</v>
      </c>
      <c r="F319" s="229">
        <f t="shared" si="5"/>
        <v>641.87026116259483</v>
      </c>
    </row>
    <row r="320" spans="1:6" s="7" customFormat="1" x14ac:dyDescent="0.2">
      <c r="A320" s="220">
        <v>7212</v>
      </c>
      <c r="B320" s="221" t="s">
        <v>1707</v>
      </c>
      <c r="C320" s="222">
        <v>308</v>
      </c>
      <c r="D320" s="223"/>
      <c r="E320" s="223"/>
      <c r="F320" s="229" t="str">
        <f t="shared" si="5"/>
        <v>-</v>
      </c>
    </row>
    <row r="321" spans="1:6" s="7" customFormat="1" x14ac:dyDescent="0.2">
      <c r="A321" s="220">
        <v>7213</v>
      </c>
      <c r="B321" s="221" t="s">
        <v>816</v>
      </c>
      <c r="C321" s="222">
        <v>309</v>
      </c>
      <c r="D321" s="223"/>
      <c r="E321" s="223"/>
      <c r="F321" s="229" t="str">
        <f t="shared" si="5"/>
        <v>-</v>
      </c>
    </row>
    <row r="322" spans="1:6" s="7" customFormat="1" x14ac:dyDescent="0.2">
      <c r="A322" s="220">
        <v>7214</v>
      </c>
      <c r="B322" s="221" t="s">
        <v>1708</v>
      </c>
      <c r="C322" s="222">
        <v>310</v>
      </c>
      <c r="D322" s="223"/>
      <c r="E322" s="223"/>
      <c r="F322" s="229" t="str">
        <f t="shared" si="5"/>
        <v>-</v>
      </c>
    </row>
    <row r="323" spans="1:6" s="7" customFormat="1" x14ac:dyDescent="0.2">
      <c r="A323" s="220">
        <v>722</v>
      </c>
      <c r="B323" s="221" t="s">
        <v>1070</v>
      </c>
      <c r="C323" s="222">
        <v>311</v>
      </c>
      <c r="D323" s="230">
        <f>SUM(D324:D331)</f>
        <v>0</v>
      </c>
      <c r="E323" s="230">
        <f>SUM(E324:E331)</f>
        <v>0</v>
      </c>
      <c r="F323" s="231" t="str">
        <f t="shared" si="5"/>
        <v>-</v>
      </c>
    </row>
    <row r="324" spans="1:6" s="7" customFormat="1" x14ac:dyDescent="0.2">
      <c r="A324" s="220">
        <v>7221</v>
      </c>
      <c r="B324" s="221" t="s">
        <v>2375</v>
      </c>
      <c r="C324" s="222">
        <v>312</v>
      </c>
      <c r="D324" s="223"/>
      <c r="E324" s="223"/>
      <c r="F324" s="229" t="str">
        <f t="shared" si="5"/>
        <v>-</v>
      </c>
    </row>
    <row r="325" spans="1:6" s="7" customFormat="1" x14ac:dyDescent="0.2">
      <c r="A325" s="220">
        <v>7222</v>
      </c>
      <c r="B325" s="221" t="s">
        <v>2376</v>
      </c>
      <c r="C325" s="222">
        <v>313</v>
      </c>
      <c r="D325" s="223"/>
      <c r="E325" s="223"/>
      <c r="F325" s="229" t="str">
        <f t="shared" si="5"/>
        <v>-</v>
      </c>
    </row>
    <row r="326" spans="1:6" s="7" customFormat="1" x14ac:dyDescent="0.2">
      <c r="A326" s="220">
        <v>7223</v>
      </c>
      <c r="B326" s="221" t="s">
        <v>2377</v>
      </c>
      <c r="C326" s="222">
        <v>314</v>
      </c>
      <c r="D326" s="223"/>
      <c r="E326" s="223"/>
      <c r="F326" s="229" t="str">
        <f t="shared" si="5"/>
        <v>-</v>
      </c>
    </row>
    <row r="327" spans="1:6" s="7" customFormat="1" x14ac:dyDescent="0.2">
      <c r="A327" s="220">
        <v>7224</v>
      </c>
      <c r="B327" s="221" t="s">
        <v>2378</v>
      </c>
      <c r="C327" s="222">
        <v>315</v>
      </c>
      <c r="D327" s="223"/>
      <c r="E327" s="223"/>
      <c r="F327" s="229" t="str">
        <f t="shared" si="5"/>
        <v>-</v>
      </c>
    </row>
    <row r="328" spans="1:6" s="7" customFormat="1" x14ac:dyDescent="0.2">
      <c r="A328" s="220">
        <v>7225</v>
      </c>
      <c r="B328" s="221" t="s">
        <v>2379</v>
      </c>
      <c r="C328" s="222">
        <v>316</v>
      </c>
      <c r="D328" s="223"/>
      <c r="E328" s="223"/>
      <c r="F328" s="229" t="str">
        <f t="shared" si="5"/>
        <v>-</v>
      </c>
    </row>
    <row r="329" spans="1:6" s="7" customFormat="1" x14ac:dyDescent="0.2">
      <c r="A329" s="220">
        <v>7226</v>
      </c>
      <c r="B329" s="221" t="s">
        <v>2380</v>
      </c>
      <c r="C329" s="222">
        <v>317</v>
      </c>
      <c r="D329" s="223"/>
      <c r="E329" s="223"/>
      <c r="F329" s="229" t="str">
        <f t="shared" si="5"/>
        <v>-</v>
      </c>
    </row>
    <row r="330" spans="1:6" s="7" customFormat="1" x14ac:dyDescent="0.2">
      <c r="A330" s="220">
        <v>7227</v>
      </c>
      <c r="B330" s="221" t="s">
        <v>2381</v>
      </c>
      <c r="C330" s="222">
        <v>318</v>
      </c>
      <c r="D330" s="223"/>
      <c r="E330" s="223"/>
      <c r="F330" s="229" t="str">
        <f t="shared" si="5"/>
        <v>-</v>
      </c>
    </row>
    <row r="331" spans="1:6" s="7" customFormat="1" x14ac:dyDescent="0.2">
      <c r="A331" s="220" t="s">
        <v>2870</v>
      </c>
      <c r="B331" s="221" t="s">
        <v>4010</v>
      </c>
      <c r="C331" s="222">
        <v>319</v>
      </c>
      <c r="D331" s="223"/>
      <c r="E331" s="223"/>
      <c r="F331" s="229" t="str">
        <f t="shared" si="5"/>
        <v>-</v>
      </c>
    </row>
    <row r="332" spans="1:6" s="7" customFormat="1" x14ac:dyDescent="0.2">
      <c r="A332" s="220">
        <v>723</v>
      </c>
      <c r="B332" s="221" t="s">
        <v>1071</v>
      </c>
      <c r="C332" s="222">
        <v>320</v>
      </c>
      <c r="D332" s="230">
        <f>SUM(D333:D336)</f>
        <v>0</v>
      </c>
      <c r="E332" s="230">
        <f>SUM(E333:E336)</f>
        <v>0</v>
      </c>
      <c r="F332" s="231" t="str">
        <f t="shared" si="5"/>
        <v>-</v>
      </c>
    </row>
    <row r="333" spans="1:6" s="7" customFormat="1" x14ac:dyDescent="0.2">
      <c r="A333" s="220">
        <v>7231</v>
      </c>
      <c r="B333" s="221" t="s">
        <v>2382</v>
      </c>
      <c r="C333" s="222">
        <v>321</v>
      </c>
      <c r="D333" s="223"/>
      <c r="E333" s="223"/>
      <c r="F333" s="229" t="str">
        <f t="shared" si="5"/>
        <v>-</v>
      </c>
    </row>
    <row r="334" spans="1:6" s="7" customFormat="1" x14ac:dyDescent="0.2">
      <c r="A334" s="220">
        <v>7232</v>
      </c>
      <c r="B334" s="221" t="s">
        <v>2383</v>
      </c>
      <c r="C334" s="222">
        <v>322</v>
      </c>
      <c r="D334" s="223"/>
      <c r="E334" s="223"/>
      <c r="F334" s="229" t="str">
        <f t="shared" si="5"/>
        <v>-</v>
      </c>
    </row>
    <row r="335" spans="1:6" s="7" customFormat="1" x14ac:dyDescent="0.2">
      <c r="A335" s="220">
        <v>7233</v>
      </c>
      <c r="B335" s="221" t="s">
        <v>565</v>
      </c>
      <c r="C335" s="222">
        <v>323</v>
      </c>
      <c r="D335" s="223"/>
      <c r="E335" s="223"/>
      <c r="F335" s="229" t="str">
        <f t="shared" si="5"/>
        <v>-</v>
      </c>
    </row>
    <row r="336" spans="1:6" s="7" customFormat="1" x14ac:dyDescent="0.2">
      <c r="A336" s="220">
        <v>7234</v>
      </c>
      <c r="B336" s="221" t="s">
        <v>1934</v>
      </c>
      <c r="C336" s="222">
        <v>324</v>
      </c>
      <c r="D336" s="223"/>
      <c r="E336" s="223"/>
      <c r="F336" s="229" t="str">
        <f t="shared" si="5"/>
        <v>-</v>
      </c>
    </row>
    <row r="337" spans="1:6" s="7" customFormat="1" ht="24" x14ac:dyDescent="0.2">
      <c r="A337" s="220">
        <v>724</v>
      </c>
      <c r="B337" s="221" t="s">
        <v>1406</v>
      </c>
      <c r="C337" s="222">
        <v>325</v>
      </c>
      <c r="D337" s="230">
        <f>SUM(D338:D341)</f>
        <v>0</v>
      </c>
      <c r="E337" s="230">
        <f>SUM(E338:E341)</f>
        <v>0</v>
      </c>
      <c r="F337" s="231" t="str">
        <f t="shared" si="5"/>
        <v>-</v>
      </c>
    </row>
    <row r="338" spans="1:6" s="7" customFormat="1" x14ac:dyDescent="0.2">
      <c r="A338" s="220">
        <v>7241</v>
      </c>
      <c r="B338" s="221" t="s">
        <v>817</v>
      </c>
      <c r="C338" s="222">
        <v>326</v>
      </c>
      <c r="D338" s="223"/>
      <c r="E338" s="223"/>
      <c r="F338" s="229" t="str">
        <f t="shared" si="5"/>
        <v>-</v>
      </c>
    </row>
    <row r="339" spans="1:6" s="7" customFormat="1" x14ac:dyDescent="0.2">
      <c r="A339" s="220">
        <v>7242</v>
      </c>
      <c r="B339" s="221" t="s">
        <v>818</v>
      </c>
      <c r="C339" s="222">
        <v>327</v>
      </c>
      <c r="D339" s="223"/>
      <c r="E339" s="223"/>
      <c r="F339" s="229" t="str">
        <f t="shared" si="5"/>
        <v>-</v>
      </c>
    </row>
    <row r="340" spans="1:6" s="7" customFormat="1" x14ac:dyDescent="0.2">
      <c r="A340" s="220">
        <v>7243</v>
      </c>
      <c r="B340" s="221" t="s">
        <v>1867</v>
      </c>
      <c r="C340" s="222">
        <v>328</v>
      </c>
      <c r="D340" s="223"/>
      <c r="E340" s="223"/>
      <c r="F340" s="229" t="str">
        <f t="shared" si="5"/>
        <v>-</v>
      </c>
    </row>
    <row r="341" spans="1:6" s="7" customFormat="1" x14ac:dyDescent="0.2">
      <c r="A341" s="220">
        <v>7244</v>
      </c>
      <c r="B341" s="221" t="s">
        <v>1868</v>
      </c>
      <c r="C341" s="222">
        <v>329</v>
      </c>
      <c r="D341" s="223"/>
      <c r="E341" s="223"/>
      <c r="F341" s="229" t="str">
        <f t="shared" si="5"/>
        <v>-</v>
      </c>
    </row>
    <row r="342" spans="1:6" s="7" customFormat="1" x14ac:dyDescent="0.2">
      <c r="A342" s="220">
        <v>725</v>
      </c>
      <c r="B342" s="221" t="s">
        <v>1072</v>
      </c>
      <c r="C342" s="222">
        <v>330</v>
      </c>
      <c r="D342" s="230">
        <f>SUM(D343:D344)</f>
        <v>0</v>
      </c>
      <c r="E342" s="230">
        <f>SUM(E343:E344)</f>
        <v>0</v>
      </c>
      <c r="F342" s="231" t="str">
        <f t="shared" si="5"/>
        <v>-</v>
      </c>
    </row>
    <row r="343" spans="1:6" s="7" customFormat="1" x14ac:dyDescent="0.2">
      <c r="A343" s="220">
        <v>7251</v>
      </c>
      <c r="B343" s="221" t="s">
        <v>1869</v>
      </c>
      <c r="C343" s="222">
        <v>331</v>
      </c>
      <c r="D343" s="223"/>
      <c r="E343" s="223"/>
      <c r="F343" s="229" t="str">
        <f t="shared" si="5"/>
        <v>-</v>
      </c>
    </row>
    <row r="344" spans="1:6" s="7" customFormat="1" x14ac:dyDescent="0.2">
      <c r="A344" s="220">
        <v>7252</v>
      </c>
      <c r="B344" s="221" t="s">
        <v>3044</v>
      </c>
      <c r="C344" s="222">
        <v>332</v>
      </c>
      <c r="D344" s="223"/>
      <c r="E344" s="223"/>
      <c r="F344" s="229" t="str">
        <f t="shared" si="5"/>
        <v>-</v>
      </c>
    </row>
    <row r="345" spans="1:6" s="7" customFormat="1" x14ac:dyDescent="0.2">
      <c r="A345" s="220">
        <v>726</v>
      </c>
      <c r="B345" s="221" t="s">
        <v>1073</v>
      </c>
      <c r="C345" s="222">
        <v>333</v>
      </c>
      <c r="D345" s="230">
        <f>SUM(D346:D349)</f>
        <v>0</v>
      </c>
      <c r="E345" s="230">
        <f>SUM(E346:E349)</f>
        <v>0</v>
      </c>
      <c r="F345" s="231" t="str">
        <f t="shared" si="5"/>
        <v>-</v>
      </c>
    </row>
    <row r="346" spans="1:6" s="7" customFormat="1" x14ac:dyDescent="0.2">
      <c r="A346" s="220">
        <v>7261</v>
      </c>
      <c r="B346" s="221" t="s">
        <v>819</v>
      </c>
      <c r="C346" s="222">
        <v>334</v>
      </c>
      <c r="D346" s="223"/>
      <c r="E346" s="223"/>
      <c r="F346" s="229" t="str">
        <f t="shared" si="5"/>
        <v>-</v>
      </c>
    </row>
    <row r="347" spans="1:6" s="7" customFormat="1" x14ac:dyDescent="0.2">
      <c r="A347" s="220">
        <v>7262</v>
      </c>
      <c r="B347" s="221" t="s">
        <v>65</v>
      </c>
      <c r="C347" s="222">
        <v>335</v>
      </c>
      <c r="D347" s="223"/>
      <c r="E347" s="223"/>
      <c r="F347" s="229" t="str">
        <f t="shared" si="5"/>
        <v>-</v>
      </c>
    </row>
    <row r="348" spans="1:6" s="7" customFormat="1" x14ac:dyDescent="0.2">
      <c r="A348" s="220">
        <v>7263</v>
      </c>
      <c r="B348" s="221" t="s">
        <v>66</v>
      </c>
      <c r="C348" s="222">
        <v>336</v>
      </c>
      <c r="D348" s="223"/>
      <c r="E348" s="223"/>
      <c r="F348" s="229" t="str">
        <f t="shared" si="5"/>
        <v>-</v>
      </c>
    </row>
    <row r="349" spans="1:6" s="7" customFormat="1" x14ac:dyDescent="0.2">
      <c r="A349" s="220">
        <v>7264</v>
      </c>
      <c r="B349" s="221" t="s">
        <v>67</v>
      </c>
      <c r="C349" s="222">
        <v>337</v>
      </c>
      <c r="D349" s="223"/>
      <c r="E349" s="223"/>
      <c r="F349" s="229" t="str">
        <f t="shared" si="5"/>
        <v>-</v>
      </c>
    </row>
    <row r="350" spans="1:6" s="7" customFormat="1" x14ac:dyDescent="0.2">
      <c r="A350" s="220">
        <v>73</v>
      </c>
      <c r="B350" s="221" t="s">
        <v>1074</v>
      </c>
      <c r="C350" s="222">
        <v>338</v>
      </c>
      <c r="D350" s="230">
        <f>D351</f>
        <v>0</v>
      </c>
      <c r="E350" s="230">
        <f>E351</f>
        <v>0</v>
      </c>
      <c r="F350" s="231" t="str">
        <f t="shared" si="5"/>
        <v>-</v>
      </c>
    </row>
    <row r="351" spans="1:6" s="7" customFormat="1" x14ac:dyDescent="0.2">
      <c r="A351" s="220">
        <v>731</v>
      </c>
      <c r="B351" s="221" t="s">
        <v>1075</v>
      </c>
      <c r="C351" s="222">
        <v>339</v>
      </c>
      <c r="D351" s="230">
        <f>SUM(D352:D353)</f>
        <v>0</v>
      </c>
      <c r="E351" s="230">
        <f>SUM(E352:E353)</f>
        <v>0</v>
      </c>
      <c r="F351" s="231" t="str">
        <f t="shared" si="5"/>
        <v>-</v>
      </c>
    </row>
    <row r="352" spans="1:6" s="7" customFormat="1" x14ac:dyDescent="0.2">
      <c r="A352" s="220">
        <v>7311</v>
      </c>
      <c r="B352" s="221" t="s">
        <v>68</v>
      </c>
      <c r="C352" s="222">
        <v>340</v>
      </c>
      <c r="D352" s="223"/>
      <c r="E352" s="223"/>
      <c r="F352" s="229" t="str">
        <f t="shared" si="5"/>
        <v>-</v>
      </c>
    </row>
    <row r="353" spans="1:6" s="7" customFormat="1" x14ac:dyDescent="0.2">
      <c r="A353" s="220">
        <v>7312</v>
      </c>
      <c r="B353" s="221" t="s">
        <v>69</v>
      </c>
      <c r="C353" s="222">
        <v>341</v>
      </c>
      <c r="D353" s="223"/>
      <c r="E353" s="223"/>
      <c r="F353" s="229" t="str">
        <f t="shared" si="5"/>
        <v>-</v>
      </c>
    </row>
    <row r="354" spans="1:6" s="7" customFormat="1" x14ac:dyDescent="0.2">
      <c r="A354" s="220">
        <v>74</v>
      </c>
      <c r="B354" s="221" t="s">
        <v>1079</v>
      </c>
      <c r="C354" s="222">
        <v>342</v>
      </c>
      <c r="D354" s="230">
        <f>D355</f>
        <v>0</v>
      </c>
      <c r="E354" s="230">
        <f>E355</f>
        <v>0</v>
      </c>
      <c r="F354" s="231" t="str">
        <f t="shared" si="5"/>
        <v>-</v>
      </c>
    </row>
    <row r="355" spans="1:6" s="7" customFormat="1" x14ac:dyDescent="0.2">
      <c r="A355" s="220">
        <v>741</v>
      </c>
      <c r="B355" s="221" t="s">
        <v>314</v>
      </c>
      <c r="C355" s="222">
        <v>343</v>
      </c>
      <c r="D355" s="223"/>
      <c r="E355" s="223"/>
      <c r="F355" s="229" t="str">
        <f t="shared" si="5"/>
        <v>-</v>
      </c>
    </row>
    <row r="356" spans="1:6" s="7" customFormat="1" x14ac:dyDescent="0.2">
      <c r="A356" s="220">
        <v>4</v>
      </c>
      <c r="B356" s="221" t="s">
        <v>1076</v>
      </c>
      <c r="C356" s="222">
        <v>344</v>
      </c>
      <c r="D356" s="230">
        <f>D357+D369+D402+D406+D408</f>
        <v>1607584</v>
      </c>
      <c r="E356" s="230">
        <f>E357+E369+E402+E406+E408</f>
        <v>3601872</v>
      </c>
      <c r="F356" s="231">
        <f t="shared" si="5"/>
        <v>224.05497939765513</v>
      </c>
    </row>
    <row r="357" spans="1:6" s="7" customFormat="1" x14ac:dyDescent="0.2">
      <c r="A357" s="220">
        <v>41</v>
      </c>
      <c r="B357" s="221" t="s">
        <v>1077</v>
      </c>
      <c r="C357" s="222">
        <v>345</v>
      </c>
      <c r="D357" s="230">
        <f>D358+D362</f>
        <v>0</v>
      </c>
      <c r="E357" s="230">
        <f>E358+E362</f>
        <v>0</v>
      </c>
      <c r="F357" s="231" t="str">
        <f t="shared" si="5"/>
        <v>-</v>
      </c>
    </row>
    <row r="358" spans="1:6" s="7" customFormat="1" x14ac:dyDescent="0.2">
      <c r="A358" s="220">
        <v>411</v>
      </c>
      <c r="B358" s="221" t="s">
        <v>1078</v>
      </c>
      <c r="C358" s="222">
        <v>346</v>
      </c>
      <c r="D358" s="230">
        <f>SUM(D359:D361)</f>
        <v>0</v>
      </c>
      <c r="E358" s="230">
        <f>SUM(E359:E361)</f>
        <v>0</v>
      </c>
      <c r="F358" s="231" t="str">
        <f t="shared" si="5"/>
        <v>-</v>
      </c>
    </row>
    <row r="359" spans="1:6" s="7" customFormat="1" x14ac:dyDescent="0.2">
      <c r="A359" s="220">
        <v>4111</v>
      </c>
      <c r="B359" s="221" t="s">
        <v>2922</v>
      </c>
      <c r="C359" s="222">
        <v>347</v>
      </c>
      <c r="D359" s="223"/>
      <c r="E359" s="223"/>
      <c r="F359" s="229" t="str">
        <f t="shared" si="5"/>
        <v>-</v>
      </c>
    </row>
    <row r="360" spans="1:6" s="7" customFormat="1" x14ac:dyDescent="0.2">
      <c r="A360" s="220">
        <v>4112</v>
      </c>
      <c r="B360" s="221" t="s">
        <v>2917</v>
      </c>
      <c r="C360" s="222">
        <v>348</v>
      </c>
      <c r="D360" s="223"/>
      <c r="E360" s="223"/>
      <c r="F360" s="229" t="str">
        <f t="shared" si="5"/>
        <v>-</v>
      </c>
    </row>
    <row r="361" spans="1:6" s="7" customFormat="1" x14ac:dyDescent="0.2">
      <c r="A361" s="220">
        <v>4113</v>
      </c>
      <c r="B361" s="221" t="s">
        <v>4204</v>
      </c>
      <c r="C361" s="222">
        <v>349</v>
      </c>
      <c r="D361" s="223"/>
      <c r="E361" s="223"/>
      <c r="F361" s="229" t="str">
        <f t="shared" si="5"/>
        <v>-</v>
      </c>
    </row>
    <row r="362" spans="1:6" s="7" customFormat="1" x14ac:dyDescent="0.2">
      <c r="A362" s="220">
        <v>412</v>
      </c>
      <c r="B362" s="221" t="s">
        <v>1080</v>
      </c>
      <c r="C362" s="222">
        <v>350</v>
      </c>
      <c r="D362" s="230">
        <f>SUM(D363:D368)</f>
        <v>0</v>
      </c>
      <c r="E362" s="230">
        <f>SUM(E363:E368)</f>
        <v>0</v>
      </c>
      <c r="F362" s="231" t="str">
        <f t="shared" si="5"/>
        <v>-</v>
      </c>
    </row>
    <row r="363" spans="1:6" s="7" customFormat="1" x14ac:dyDescent="0.2">
      <c r="A363" s="220">
        <v>4121</v>
      </c>
      <c r="B363" s="221" t="s">
        <v>2919</v>
      </c>
      <c r="C363" s="222">
        <v>351</v>
      </c>
      <c r="D363" s="223"/>
      <c r="E363" s="223"/>
      <c r="F363" s="229" t="str">
        <f t="shared" si="5"/>
        <v>-</v>
      </c>
    </row>
    <row r="364" spans="1:6" s="7" customFormat="1" x14ac:dyDescent="0.2">
      <c r="A364" s="220">
        <v>4122</v>
      </c>
      <c r="B364" s="221" t="s">
        <v>2920</v>
      </c>
      <c r="C364" s="222">
        <v>352</v>
      </c>
      <c r="D364" s="223"/>
      <c r="E364" s="223"/>
      <c r="F364" s="229" t="str">
        <f t="shared" si="5"/>
        <v>-</v>
      </c>
    </row>
    <row r="365" spans="1:6" s="7" customFormat="1" x14ac:dyDescent="0.2">
      <c r="A365" s="220">
        <v>4123</v>
      </c>
      <c r="B365" s="221" t="s">
        <v>2921</v>
      </c>
      <c r="C365" s="222">
        <v>353</v>
      </c>
      <c r="D365" s="223"/>
      <c r="E365" s="223"/>
      <c r="F365" s="229" t="str">
        <f t="shared" si="5"/>
        <v>-</v>
      </c>
    </row>
    <row r="366" spans="1:6" s="7" customFormat="1" x14ac:dyDescent="0.2">
      <c r="A366" s="220">
        <v>4124</v>
      </c>
      <c r="B366" s="221" t="s">
        <v>3501</v>
      </c>
      <c r="C366" s="222">
        <v>354</v>
      </c>
      <c r="D366" s="223"/>
      <c r="E366" s="223"/>
      <c r="F366" s="229" t="str">
        <f t="shared" si="5"/>
        <v>-</v>
      </c>
    </row>
    <row r="367" spans="1:6" s="7" customFormat="1" x14ac:dyDescent="0.2">
      <c r="A367" s="220">
        <v>4125</v>
      </c>
      <c r="B367" s="221" t="s">
        <v>2301</v>
      </c>
      <c r="C367" s="222">
        <v>355</v>
      </c>
      <c r="D367" s="223"/>
      <c r="E367" s="223"/>
      <c r="F367" s="229" t="str">
        <f t="shared" si="5"/>
        <v>-</v>
      </c>
    </row>
    <row r="368" spans="1:6" s="7" customFormat="1" x14ac:dyDescent="0.2">
      <c r="A368" s="220">
        <v>4126</v>
      </c>
      <c r="B368" s="221" t="s">
        <v>3500</v>
      </c>
      <c r="C368" s="222">
        <v>356</v>
      </c>
      <c r="D368" s="223"/>
      <c r="E368" s="223"/>
      <c r="F368" s="229" t="str">
        <f t="shared" ref="F368:F424" si="6">IF(D368&lt;&gt;0,IF(E368/D368&gt;=100,"&gt;&gt;100",E368/D368*100),"-")</f>
        <v>-</v>
      </c>
    </row>
    <row r="369" spans="1:6" s="7" customFormat="1" x14ac:dyDescent="0.2">
      <c r="A369" s="220">
        <v>42</v>
      </c>
      <c r="B369" s="362" t="s">
        <v>1814</v>
      </c>
      <c r="C369" s="222">
        <v>357</v>
      </c>
      <c r="D369" s="230">
        <f>D370+D375+D384+D389+D394+D397</f>
        <v>427258</v>
      </c>
      <c r="E369" s="230">
        <f>E370+E375+E384+E389+E394+E397</f>
        <v>3601872</v>
      </c>
      <c r="F369" s="231">
        <f t="shared" si="6"/>
        <v>843.02037644701807</v>
      </c>
    </row>
    <row r="370" spans="1:6" s="7" customFormat="1" x14ac:dyDescent="0.2">
      <c r="A370" s="220">
        <v>421</v>
      </c>
      <c r="B370" s="221" t="s">
        <v>1815</v>
      </c>
      <c r="C370" s="222">
        <v>358</v>
      </c>
      <c r="D370" s="230">
        <f>SUM(D371:D374)</f>
        <v>303140</v>
      </c>
      <c r="E370" s="230">
        <f>SUM(E371:E374)</f>
        <v>3555351</v>
      </c>
      <c r="F370" s="231">
        <f t="shared" si="6"/>
        <v>1172.8412614633503</v>
      </c>
    </row>
    <row r="371" spans="1:6" s="7" customFormat="1" x14ac:dyDescent="0.2">
      <c r="A371" s="220">
        <v>4211</v>
      </c>
      <c r="B371" s="221" t="s">
        <v>1706</v>
      </c>
      <c r="C371" s="222">
        <v>359</v>
      </c>
      <c r="D371" s="223"/>
      <c r="E371" s="223"/>
      <c r="F371" s="229" t="str">
        <f t="shared" si="6"/>
        <v>-</v>
      </c>
    </row>
    <row r="372" spans="1:6" s="7" customFormat="1" x14ac:dyDescent="0.2">
      <c r="A372" s="220">
        <v>4212</v>
      </c>
      <c r="B372" s="221" t="s">
        <v>1707</v>
      </c>
      <c r="C372" s="222">
        <v>360</v>
      </c>
      <c r="D372" s="223"/>
      <c r="E372" s="223"/>
      <c r="F372" s="229" t="str">
        <f t="shared" si="6"/>
        <v>-</v>
      </c>
    </row>
    <row r="373" spans="1:6" s="7" customFormat="1" x14ac:dyDescent="0.2">
      <c r="A373" s="220">
        <v>4213</v>
      </c>
      <c r="B373" s="221" t="s">
        <v>816</v>
      </c>
      <c r="C373" s="222">
        <v>361</v>
      </c>
      <c r="D373" s="223"/>
      <c r="E373" s="223">
        <v>956298</v>
      </c>
      <c r="F373" s="229" t="str">
        <f t="shared" si="6"/>
        <v>-</v>
      </c>
    </row>
    <row r="374" spans="1:6" s="7" customFormat="1" x14ac:dyDescent="0.2">
      <c r="A374" s="220">
        <v>4214</v>
      </c>
      <c r="B374" s="221" t="s">
        <v>1708</v>
      </c>
      <c r="C374" s="222">
        <v>362</v>
      </c>
      <c r="D374" s="223">
        <v>303140</v>
      </c>
      <c r="E374" s="223">
        <v>2599053</v>
      </c>
      <c r="F374" s="229">
        <f t="shared" si="6"/>
        <v>857.37711948274728</v>
      </c>
    </row>
    <row r="375" spans="1:6" s="7" customFormat="1" x14ac:dyDescent="0.2">
      <c r="A375" s="220">
        <v>422</v>
      </c>
      <c r="B375" s="221" t="s">
        <v>1816</v>
      </c>
      <c r="C375" s="222">
        <v>363</v>
      </c>
      <c r="D375" s="230">
        <f>SUM(D376:D383)</f>
        <v>102096</v>
      </c>
      <c r="E375" s="230">
        <f>SUM(E376:E383)</f>
        <v>19561</v>
      </c>
      <c r="F375" s="231">
        <f t="shared" si="6"/>
        <v>19.159418586428458</v>
      </c>
    </row>
    <row r="376" spans="1:6" s="7" customFormat="1" x14ac:dyDescent="0.2">
      <c r="A376" s="220">
        <v>4221</v>
      </c>
      <c r="B376" s="221" t="s">
        <v>2375</v>
      </c>
      <c r="C376" s="222">
        <v>364</v>
      </c>
      <c r="D376" s="223">
        <v>24503</v>
      </c>
      <c r="E376" s="223">
        <v>4641</v>
      </c>
      <c r="F376" s="229">
        <f t="shared" si="6"/>
        <v>18.940537893319185</v>
      </c>
    </row>
    <row r="377" spans="1:6" s="7" customFormat="1" x14ac:dyDescent="0.2">
      <c r="A377" s="220">
        <v>4222</v>
      </c>
      <c r="B377" s="221" t="s">
        <v>2398</v>
      </c>
      <c r="C377" s="222">
        <v>365</v>
      </c>
      <c r="D377" s="223"/>
      <c r="E377" s="223"/>
      <c r="F377" s="229" t="str">
        <f t="shared" si="6"/>
        <v>-</v>
      </c>
    </row>
    <row r="378" spans="1:6" s="7" customFormat="1" x14ac:dyDescent="0.2">
      <c r="A378" s="220">
        <v>4223</v>
      </c>
      <c r="B378" s="221" t="s">
        <v>2377</v>
      </c>
      <c r="C378" s="222">
        <v>366</v>
      </c>
      <c r="D378" s="223">
        <v>2179</v>
      </c>
      <c r="E378" s="223">
        <f>6920+8000</f>
        <v>14920</v>
      </c>
      <c r="F378" s="229">
        <f t="shared" si="6"/>
        <v>684.71776044056912</v>
      </c>
    </row>
    <row r="379" spans="1:6" s="7" customFormat="1" x14ac:dyDescent="0.2">
      <c r="A379" s="220">
        <v>4224</v>
      </c>
      <c r="B379" s="221" t="s">
        <v>2378</v>
      </c>
      <c r="C379" s="222">
        <v>367</v>
      </c>
      <c r="D379" s="223"/>
      <c r="E379" s="223"/>
      <c r="F379" s="229" t="str">
        <f t="shared" si="6"/>
        <v>-</v>
      </c>
    </row>
    <row r="380" spans="1:6" s="7" customFormat="1" x14ac:dyDescent="0.2">
      <c r="A380" s="220">
        <v>4225</v>
      </c>
      <c r="B380" s="221" t="s">
        <v>2379</v>
      </c>
      <c r="C380" s="222">
        <v>368</v>
      </c>
      <c r="D380" s="223"/>
      <c r="E380" s="223"/>
      <c r="F380" s="229" t="str">
        <f t="shared" si="6"/>
        <v>-</v>
      </c>
    </row>
    <row r="381" spans="1:6" s="7" customFormat="1" x14ac:dyDescent="0.2">
      <c r="A381" s="220">
        <v>4226</v>
      </c>
      <c r="B381" s="221" t="s">
        <v>2380</v>
      </c>
      <c r="C381" s="222">
        <v>369</v>
      </c>
      <c r="D381" s="223"/>
      <c r="E381" s="223"/>
      <c r="F381" s="229" t="str">
        <f t="shared" si="6"/>
        <v>-</v>
      </c>
    </row>
    <row r="382" spans="1:6" s="7" customFormat="1" x14ac:dyDescent="0.2">
      <c r="A382" s="220">
        <v>4227</v>
      </c>
      <c r="B382" s="221" t="s">
        <v>2381</v>
      </c>
      <c r="C382" s="222">
        <v>370</v>
      </c>
      <c r="D382" s="223">
        <v>75414</v>
      </c>
      <c r="E382" s="223"/>
      <c r="F382" s="229">
        <f t="shared" si="6"/>
        <v>0</v>
      </c>
    </row>
    <row r="383" spans="1:6" s="7" customFormat="1" x14ac:dyDescent="0.2">
      <c r="A383" s="220" t="s">
        <v>1481</v>
      </c>
      <c r="B383" s="221" t="s">
        <v>4010</v>
      </c>
      <c r="C383" s="222">
        <v>371</v>
      </c>
      <c r="D383" s="223"/>
      <c r="E383" s="223"/>
      <c r="F383" s="229" t="str">
        <f t="shared" si="6"/>
        <v>-</v>
      </c>
    </row>
    <row r="384" spans="1:6" s="7" customFormat="1" x14ac:dyDescent="0.2">
      <c r="A384" s="220">
        <v>423</v>
      </c>
      <c r="B384" s="221" t="s">
        <v>1817</v>
      </c>
      <c r="C384" s="222">
        <v>372</v>
      </c>
      <c r="D384" s="230">
        <f>SUM(D385:D388)</f>
        <v>0</v>
      </c>
      <c r="E384" s="230">
        <f>SUM(E385:E388)</f>
        <v>25000</v>
      </c>
      <c r="F384" s="231" t="str">
        <f t="shared" si="6"/>
        <v>-</v>
      </c>
    </row>
    <row r="385" spans="1:6" s="7" customFormat="1" x14ac:dyDescent="0.2">
      <c r="A385" s="220">
        <v>4231</v>
      </c>
      <c r="B385" s="221" t="s">
        <v>2382</v>
      </c>
      <c r="C385" s="222">
        <v>373</v>
      </c>
      <c r="D385" s="223"/>
      <c r="E385" s="223">
        <v>25000</v>
      </c>
      <c r="F385" s="229" t="str">
        <f t="shared" si="6"/>
        <v>-</v>
      </c>
    </row>
    <row r="386" spans="1:6" s="7" customFormat="1" x14ac:dyDescent="0.2">
      <c r="A386" s="220">
        <v>4232</v>
      </c>
      <c r="B386" s="221" t="s">
        <v>2383</v>
      </c>
      <c r="C386" s="222">
        <v>374</v>
      </c>
      <c r="D386" s="223"/>
      <c r="E386" s="223"/>
      <c r="F386" s="229" t="str">
        <f t="shared" si="6"/>
        <v>-</v>
      </c>
    </row>
    <row r="387" spans="1:6" s="7" customFormat="1" x14ac:dyDescent="0.2">
      <c r="A387" s="220">
        <v>4233</v>
      </c>
      <c r="B387" s="221" t="s">
        <v>565</v>
      </c>
      <c r="C387" s="222">
        <v>375</v>
      </c>
      <c r="D387" s="223"/>
      <c r="E387" s="223"/>
      <c r="F387" s="229" t="str">
        <f t="shared" si="6"/>
        <v>-</v>
      </c>
    </row>
    <row r="388" spans="1:6" s="7" customFormat="1" x14ac:dyDescent="0.2">
      <c r="A388" s="220">
        <v>4234</v>
      </c>
      <c r="B388" s="221" t="s">
        <v>1934</v>
      </c>
      <c r="C388" s="222">
        <v>376</v>
      </c>
      <c r="D388" s="223"/>
      <c r="E388" s="223"/>
      <c r="F388" s="229" t="str">
        <f t="shared" si="6"/>
        <v>-</v>
      </c>
    </row>
    <row r="389" spans="1:6" s="7" customFormat="1" x14ac:dyDescent="0.2">
      <c r="A389" s="220">
        <v>424</v>
      </c>
      <c r="B389" s="221" t="s">
        <v>1818</v>
      </c>
      <c r="C389" s="222">
        <v>377</v>
      </c>
      <c r="D389" s="230">
        <f>SUM(D390:D393)</f>
        <v>0</v>
      </c>
      <c r="E389" s="230">
        <f>SUM(E390:E393)</f>
        <v>0</v>
      </c>
      <c r="F389" s="231" t="str">
        <f t="shared" si="6"/>
        <v>-</v>
      </c>
    </row>
    <row r="390" spans="1:6" s="7" customFormat="1" x14ac:dyDescent="0.2">
      <c r="A390" s="220">
        <v>4241</v>
      </c>
      <c r="B390" s="221" t="s">
        <v>820</v>
      </c>
      <c r="C390" s="222">
        <v>378</v>
      </c>
      <c r="D390" s="223"/>
      <c r="E390" s="223"/>
      <c r="F390" s="229" t="str">
        <f t="shared" si="6"/>
        <v>-</v>
      </c>
    </row>
    <row r="391" spans="1:6" s="7" customFormat="1" x14ac:dyDescent="0.2">
      <c r="A391" s="220">
        <v>4242</v>
      </c>
      <c r="B391" s="221" t="s">
        <v>818</v>
      </c>
      <c r="C391" s="222">
        <v>379</v>
      </c>
      <c r="D391" s="223"/>
      <c r="E391" s="223"/>
      <c r="F391" s="229" t="str">
        <f t="shared" si="6"/>
        <v>-</v>
      </c>
    </row>
    <row r="392" spans="1:6" s="7" customFormat="1" x14ac:dyDescent="0.2">
      <c r="A392" s="220">
        <v>4243</v>
      </c>
      <c r="B392" s="221" t="s">
        <v>1867</v>
      </c>
      <c r="C392" s="222">
        <v>380</v>
      </c>
      <c r="D392" s="223"/>
      <c r="E392" s="223"/>
      <c r="F392" s="229" t="str">
        <f t="shared" si="6"/>
        <v>-</v>
      </c>
    </row>
    <row r="393" spans="1:6" s="7" customFormat="1" x14ac:dyDescent="0.2">
      <c r="A393" s="220">
        <v>4244</v>
      </c>
      <c r="B393" s="221" t="s">
        <v>1868</v>
      </c>
      <c r="C393" s="222">
        <v>381</v>
      </c>
      <c r="D393" s="223"/>
      <c r="E393" s="223"/>
      <c r="F393" s="229" t="str">
        <f t="shared" si="6"/>
        <v>-</v>
      </c>
    </row>
    <row r="394" spans="1:6" s="7" customFormat="1" x14ac:dyDescent="0.2">
      <c r="A394" s="220">
        <v>425</v>
      </c>
      <c r="B394" s="221" t="s">
        <v>1819</v>
      </c>
      <c r="C394" s="222">
        <v>382</v>
      </c>
      <c r="D394" s="230">
        <f>SUM(D395:D396)</f>
        <v>0</v>
      </c>
      <c r="E394" s="230">
        <f>SUM(E395:E396)</f>
        <v>0</v>
      </c>
      <c r="F394" s="231" t="str">
        <f t="shared" si="6"/>
        <v>-</v>
      </c>
    </row>
    <row r="395" spans="1:6" s="7" customFormat="1" x14ac:dyDescent="0.2">
      <c r="A395" s="220">
        <v>4251</v>
      </c>
      <c r="B395" s="221" t="s">
        <v>2399</v>
      </c>
      <c r="C395" s="222">
        <v>383</v>
      </c>
      <c r="D395" s="223"/>
      <c r="E395" s="223"/>
      <c r="F395" s="229" t="str">
        <f t="shared" si="6"/>
        <v>-</v>
      </c>
    </row>
    <row r="396" spans="1:6" s="7" customFormat="1" x14ac:dyDescent="0.2">
      <c r="A396" s="220">
        <v>4252</v>
      </c>
      <c r="B396" s="221" t="s">
        <v>3044</v>
      </c>
      <c r="C396" s="222">
        <v>384</v>
      </c>
      <c r="D396" s="223"/>
      <c r="E396" s="223"/>
      <c r="F396" s="229" t="str">
        <f t="shared" si="6"/>
        <v>-</v>
      </c>
    </row>
    <row r="397" spans="1:6" s="7" customFormat="1" x14ac:dyDescent="0.2">
      <c r="A397" s="220">
        <v>426</v>
      </c>
      <c r="B397" s="221" t="s">
        <v>1820</v>
      </c>
      <c r="C397" s="222">
        <v>385</v>
      </c>
      <c r="D397" s="230">
        <f>SUM(D398:D401)</f>
        <v>22022</v>
      </c>
      <c r="E397" s="230">
        <f>SUM(E398:E401)</f>
        <v>1960</v>
      </c>
      <c r="F397" s="231">
        <f t="shared" si="6"/>
        <v>8.9001907183725351</v>
      </c>
    </row>
    <row r="398" spans="1:6" s="7" customFormat="1" x14ac:dyDescent="0.2">
      <c r="A398" s="220">
        <v>4261</v>
      </c>
      <c r="B398" s="221" t="s">
        <v>819</v>
      </c>
      <c r="C398" s="222">
        <v>386</v>
      </c>
      <c r="D398" s="223"/>
      <c r="E398" s="223"/>
      <c r="F398" s="229" t="str">
        <f t="shared" si="6"/>
        <v>-</v>
      </c>
    </row>
    <row r="399" spans="1:6" s="7" customFormat="1" x14ac:dyDescent="0.2">
      <c r="A399" s="220">
        <v>4262</v>
      </c>
      <c r="B399" s="221" t="s">
        <v>65</v>
      </c>
      <c r="C399" s="222">
        <v>387</v>
      </c>
      <c r="D399" s="223">
        <v>9647</v>
      </c>
      <c r="E399" s="223">
        <v>1960</v>
      </c>
      <c r="F399" s="229">
        <f t="shared" si="6"/>
        <v>20.31719705607961</v>
      </c>
    </row>
    <row r="400" spans="1:6" s="7" customFormat="1" x14ac:dyDescent="0.2">
      <c r="A400" s="220">
        <v>4263</v>
      </c>
      <c r="B400" s="221" t="s">
        <v>66</v>
      </c>
      <c r="C400" s="222">
        <v>388</v>
      </c>
      <c r="D400" s="223"/>
      <c r="E400" s="223"/>
      <c r="F400" s="229" t="str">
        <f t="shared" si="6"/>
        <v>-</v>
      </c>
    </row>
    <row r="401" spans="1:6" s="7" customFormat="1" x14ac:dyDescent="0.2">
      <c r="A401" s="220">
        <v>4264</v>
      </c>
      <c r="B401" s="221" t="s">
        <v>67</v>
      </c>
      <c r="C401" s="222">
        <v>389</v>
      </c>
      <c r="D401" s="223">
        <v>12375</v>
      </c>
      <c r="E401" s="223"/>
      <c r="F401" s="229">
        <f t="shared" si="6"/>
        <v>0</v>
      </c>
    </row>
    <row r="402" spans="1:6" s="7" customFormat="1" x14ac:dyDescent="0.2">
      <c r="A402" s="220">
        <v>43</v>
      </c>
      <c r="B402" s="221" t="s">
        <v>625</v>
      </c>
      <c r="C402" s="222">
        <v>390</v>
      </c>
      <c r="D402" s="230">
        <f>D403</f>
        <v>0</v>
      </c>
      <c r="E402" s="230">
        <f>E403</f>
        <v>0</v>
      </c>
      <c r="F402" s="231" t="str">
        <f t="shared" si="6"/>
        <v>-</v>
      </c>
    </row>
    <row r="403" spans="1:6" s="7" customFormat="1" x14ac:dyDescent="0.2">
      <c r="A403" s="220">
        <v>431</v>
      </c>
      <c r="B403" s="221" t="s">
        <v>626</v>
      </c>
      <c r="C403" s="222">
        <v>391</v>
      </c>
      <c r="D403" s="230">
        <f>SUM(D404:D405)</f>
        <v>0</v>
      </c>
      <c r="E403" s="230">
        <f>SUM(E404:E405)</f>
        <v>0</v>
      </c>
      <c r="F403" s="231" t="str">
        <f t="shared" si="6"/>
        <v>-</v>
      </c>
    </row>
    <row r="404" spans="1:6" s="7" customFormat="1" x14ac:dyDescent="0.2">
      <c r="A404" s="220">
        <v>4311</v>
      </c>
      <c r="B404" s="221" t="s">
        <v>68</v>
      </c>
      <c r="C404" s="222">
        <v>392</v>
      </c>
      <c r="D404" s="223"/>
      <c r="E404" s="223"/>
      <c r="F404" s="229" t="str">
        <f t="shared" si="6"/>
        <v>-</v>
      </c>
    </row>
    <row r="405" spans="1:6" s="7" customFormat="1" x14ac:dyDescent="0.2">
      <c r="A405" s="220">
        <v>4312</v>
      </c>
      <c r="B405" s="221" t="s">
        <v>69</v>
      </c>
      <c r="C405" s="222">
        <v>393</v>
      </c>
      <c r="D405" s="223"/>
      <c r="E405" s="223"/>
      <c r="F405" s="229" t="str">
        <f t="shared" si="6"/>
        <v>-</v>
      </c>
    </row>
    <row r="406" spans="1:6" s="7" customFormat="1" x14ac:dyDescent="0.2">
      <c r="A406" s="220">
        <v>44</v>
      </c>
      <c r="B406" s="221" t="s">
        <v>627</v>
      </c>
      <c r="C406" s="222">
        <v>394</v>
      </c>
      <c r="D406" s="230">
        <f>D407</f>
        <v>0</v>
      </c>
      <c r="E406" s="230">
        <f>E407</f>
        <v>0</v>
      </c>
      <c r="F406" s="231" t="str">
        <f t="shared" si="6"/>
        <v>-</v>
      </c>
    </row>
    <row r="407" spans="1:6" s="7" customFormat="1" x14ac:dyDescent="0.2">
      <c r="A407" s="220">
        <v>441</v>
      </c>
      <c r="B407" s="221" t="s">
        <v>568</v>
      </c>
      <c r="C407" s="222">
        <v>395</v>
      </c>
      <c r="D407" s="223"/>
      <c r="E407" s="223"/>
      <c r="F407" s="229" t="str">
        <f t="shared" si="6"/>
        <v>-</v>
      </c>
    </row>
    <row r="408" spans="1:6" s="7" customFormat="1" x14ac:dyDescent="0.2">
      <c r="A408" s="220">
        <v>45</v>
      </c>
      <c r="B408" s="221" t="s">
        <v>628</v>
      </c>
      <c r="C408" s="222">
        <v>396</v>
      </c>
      <c r="D408" s="230">
        <f>SUM(D409:D412)</f>
        <v>1180326</v>
      </c>
      <c r="E408" s="230">
        <f>SUM(E409:E412)</f>
        <v>0</v>
      </c>
      <c r="F408" s="231">
        <f t="shared" si="6"/>
        <v>0</v>
      </c>
    </row>
    <row r="409" spans="1:6" s="7" customFormat="1" x14ac:dyDescent="0.2">
      <c r="A409" s="220">
        <v>451</v>
      </c>
      <c r="B409" s="221" t="s">
        <v>2009</v>
      </c>
      <c r="C409" s="222">
        <v>397</v>
      </c>
      <c r="D409" s="223">
        <v>1180326</v>
      </c>
      <c r="E409" s="223"/>
      <c r="F409" s="229">
        <f t="shared" si="6"/>
        <v>0</v>
      </c>
    </row>
    <row r="410" spans="1:6" s="7" customFormat="1" x14ac:dyDescent="0.2">
      <c r="A410" s="220">
        <v>452</v>
      </c>
      <c r="B410" s="221" t="s">
        <v>1320</v>
      </c>
      <c r="C410" s="222">
        <v>398</v>
      </c>
      <c r="D410" s="223"/>
      <c r="E410" s="223"/>
      <c r="F410" s="229" t="str">
        <f t="shared" si="6"/>
        <v>-</v>
      </c>
    </row>
    <row r="411" spans="1:6" s="7" customFormat="1" x14ac:dyDescent="0.2">
      <c r="A411" s="220">
        <v>453</v>
      </c>
      <c r="B411" s="221" t="s">
        <v>1321</v>
      </c>
      <c r="C411" s="222">
        <v>399</v>
      </c>
      <c r="D411" s="223"/>
      <c r="E411" s="223"/>
      <c r="F411" s="229" t="str">
        <f t="shared" si="6"/>
        <v>-</v>
      </c>
    </row>
    <row r="412" spans="1:6" s="7" customFormat="1" x14ac:dyDescent="0.2">
      <c r="A412" s="220">
        <v>454</v>
      </c>
      <c r="B412" s="221" t="s">
        <v>1322</v>
      </c>
      <c r="C412" s="222">
        <v>400</v>
      </c>
      <c r="D412" s="223"/>
      <c r="E412" s="223"/>
      <c r="F412" s="229" t="str">
        <f t="shared" si="6"/>
        <v>-</v>
      </c>
    </row>
    <row r="413" spans="1:6" s="7" customFormat="1" x14ac:dyDescent="0.2">
      <c r="A413" s="220" t="s">
        <v>3874</v>
      </c>
      <c r="B413" s="221" t="s">
        <v>629</v>
      </c>
      <c r="C413" s="222">
        <v>401</v>
      </c>
      <c r="D413" s="230">
        <f>IF(D304&gt;=D356, D304-D356, 0)</f>
        <v>0</v>
      </c>
      <c r="E413" s="230">
        <f>IF(E304&gt;=E356, E304-E356, 0)</f>
        <v>0</v>
      </c>
      <c r="F413" s="231" t="str">
        <f t="shared" si="6"/>
        <v>-</v>
      </c>
    </row>
    <row r="414" spans="1:6" s="7" customFormat="1" x14ac:dyDescent="0.2">
      <c r="A414" s="220" t="s">
        <v>3874</v>
      </c>
      <c r="B414" s="221" t="s">
        <v>630</v>
      </c>
      <c r="C414" s="222">
        <v>402</v>
      </c>
      <c r="D414" s="230">
        <f>IF(D356&gt;=D304, D356-D304, 0)</f>
        <v>1605210</v>
      </c>
      <c r="E414" s="230">
        <f>IF(E356&gt;=E304, E356-E304, 0)</f>
        <v>3586634</v>
      </c>
      <c r="F414" s="231">
        <f t="shared" si="6"/>
        <v>223.4370580796282</v>
      </c>
    </row>
    <row r="415" spans="1:6" s="7" customFormat="1" x14ac:dyDescent="0.2">
      <c r="A415" s="220">
        <v>92212</v>
      </c>
      <c r="B415" s="221" t="s">
        <v>1324</v>
      </c>
      <c r="C415" s="222">
        <v>403</v>
      </c>
      <c r="D415" s="223"/>
      <c r="E415" s="223"/>
      <c r="F415" s="229" t="str">
        <f t="shared" si="6"/>
        <v>-</v>
      </c>
    </row>
    <row r="416" spans="1:6" s="7" customFormat="1" x14ac:dyDescent="0.2">
      <c r="A416" s="220">
        <v>92222</v>
      </c>
      <c r="B416" s="221" t="s">
        <v>3498</v>
      </c>
      <c r="C416" s="222">
        <v>404</v>
      </c>
      <c r="D416" s="223"/>
      <c r="E416" s="223"/>
      <c r="F416" s="229" t="str">
        <f t="shared" si="6"/>
        <v>-</v>
      </c>
    </row>
    <row r="417" spans="1:6" s="7" customFormat="1" x14ac:dyDescent="0.2">
      <c r="A417" s="220">
        <v>97</v>
      </c>
      <c r="B417" s="221" t="s">
        <v>1330</v>
      </c>
      <c r="C417" s="222">
        <v>405</v>
      </c>
      <c r="D417" s="223">
        <v>91408</v>
      </c>
      <c r="E417" s="223">
        <v>54029</v>
      </c>
      <c r="F417" s="229">
        <f t="shared" si="6"/>
        <v>59.107517941536848</v>
      </c>
    </row>
    <row r="418" spans="1:6" s="7" customFormat="1" x14ac:dyDescent="0.2">
      <c r="A418" s="220" t="s">
        <v>3874</v>
      </c>
      <c r="B418" s="221" t="s">
        <v>631</v>
      </c>
      <c r="C418" s="222">
        <v>406</v>
      </c>
      <c r="D418" s="230">
        <f>D12+D304</f>
        <v>6073818</v>
      </c>
      <c r="E418" s="230">
        <f>E12+E304</f>
        <v>5156414</v>
      </c>
      <c r="F418" s="231">
        <f t="shared" si="6"/>
        <v>84.89576078835421</v>
      </c>
    </row>
    <row r="419" spans="1:6" s="7" customFormat="1" x14ac:dyDescent="0.2">
      <c r="A419" s="220" t="s">
        <v>3874</v>
      </c>
      <c r="B419" s="221" t="s">
        <v>632</v>
      </c>
      <c r="C419" s="222">
        <v>407</v>
      </c>
      <c r="D419" s="230">
        <f>D295+D356</f>
        <v>5153423</v>
      </c>
      <c r="E419" s="230">
        <f>E295+E356</f>
        <v>6985827</v>
      </c>
      <c r="F419" s="231">
        <f t="shared" si="6"/>
        <v>135.55702685380183</v>
      </c>
    </row>
    <row r="420" spans="1:6" s="7" customFormat="1" x14ac:dyDescent="0.2">
      <c r="A420" s="220" t="s">
        <v>3874</v>
      </c>
      <c r="B420" s="221" t="s">
        <v>633</v>
      </c>
      <c r="C420" s="222">
        <v>408</v>
      </c>
      <c r="D420" s="230">
        <f>IF(D418&gt;=D419,D418-D419,0)</f>
        <v>920395</v>
      </c>
      <c r="E420" s="230">
        <f>IF(E418&gt;=E419,E418-E419,0)</f>
        <v>0</v>
      </c>
      <c r="F420" s="231">
        <f t="shared" si="6"/>
        <v>0</v>
      </c>
    </row>
    <row r="421" spans="1:6" s="7" customFormat="1" x14ac:dyDescent="0.2">
      <c r="A421" s="220" t="s">
        <v>3874</v>
      </c>
      <c r="B421" s="221" t="s">
        <v>634</v>
      </c>
      <c r="C421" s="222">
        <v>409</v>
      </c>
      <c r="D421" s="230">
        <f>IF(D419&gt;=D418,D419-D418,0)</f>
        <v>0</v>
      </c>
      <c r="E421" s="230">
        <f>IF(E419&gt;=E418,E419-E418,0)</f>
        <v>1829413</v>
      </c>
      <c r="F421" s="231" t="str">
        <f t="shared" si="6"/>
        <v>-</v>
      </c>
    </row>
    <row r="422" spans="1:6" s="7" customFormat="1" x14ac:dyDescent="0.2">
      <c r="A422" s="233" t="s">
        <v>1593</v>
      </c>
      <c r="B422" s="221" t="s">
        <v>635</v>
      </c>
      <c r="C422" s="222">
        <v>410</v>
      </c>
      <c r="D422" s="230">
        <f>IF(D298-D299+D415-D416&gt;=0,D298-D299+D415-D416,0)</f>
        <v>989212</v>
      </c>
      <c r="E422" s="230">
        <f>IF(E298-E299+E415-E416&gt;=0,E298-E299+E415-E416,0)</f>
        <v>2133650</v>
      </c>
      <c r="F422" s="231">
        <f t="shared" si="6"/>
        <v>215.6918840450783</v>
      </c>
    </row>
    <row r="423" spans="1:6" s="7" customFormat="1" x14ac:dyDescent="0.2">
      <c r="A423" s="233" t="s">
        <v>1593</v>
      </c>
      <c r="B423" s="221" t="s">
        <v>636</v>
      </c>
      <c r="C423" s="222">
        <v>411</v>
      </c>
      <c r="D423" s="230">
        <f>IF(D299-D298+D416-D415&gt;=0,D299-D298+D416-D415,0)</f>
        <v>0</v>
      </c>
      <c r="E423" s="230">
        <f>IF(E299-E298+E416-E415&gt;=0,E299-E298+E416-E415,0)</f>
        <v>0</v>
      </c>
      <c r="F423" s="231" t="str">
        <f t="shared" si="6"/>
        <v>-</v>
      </c>
    </row>
    <row r="424" spans="1:6" s="7" customFormat="1" x14ac:dyDescent="0.2">
      <c r="A424" s="225" t="s">
        <v>1594</v>
      </c>
      <c r="B424" s="226" t="s">
        <v>637</v>
      </c>
      <c r="C424" s="227">
        <v>412</v>
      </c>
      <c r="D424" s="234">
        <f>D300+D417</f>
        <v>371138</v>
      </c>
      <c r="E424" s="234">
        <f>E300+E417</f>
        <v>402052</v>
      </c>
      <c r="F424" s="235">
        <f t="shared" si="6"/>
        <v>108.32951624463138</v>
      </c>
    </row>
    <row r="425" spans="1:6" s="7" customFormat="1" ht="15" x14ac:dyDescent="0.2">
      <c r="A425" s="450" t="s">
        <v>569</v>
      </c>
      <c r="B425" s="451"/>
      <c r="C425" s="288"/>
      <c r="D425" s="289"/>
      <c r="E425" s="289"/>
      <c r="F425" s="290"/>
    </row>
    <row r="426" spans="1:6" s="7" customFormat="1" x14ac:dyDescent="0.2">
      <c r="A426" s="279">
        <v>8</v>
      </c>
      <c r="B426" s="280" t="s">
        <v>1912</v>
      </c>
      <c r="C426" s="281">
        <v>413</v>
      </c>
      <c r="D426" s="291">
        <f>D427+D465+D478+D490+D521</f>
        <v>0</v>
      </c>
      <c r="E426" s="291">
        <f>E427+E465+E478+E490+E521</f>
        <v>0</v>
      </c>
      <c r="F426" s="292" t="str">
        <f t="shared" ref="F426:F489" si="7">IF(D426&lt;&gt;0,IF(E426/D426&gt;=100,"&gt;&gt;100",E426/D426*100),"-")</f>
        <v>-</v>
      </c>
    </row>
    <row r="427" spans="1:6" s="7" customFormat="1" ht="24" x14ac:dyDescent="0.2">
      <c r="A427" s="220">
        <v>81</v>
      </c>
      <c r="B427" s="221" t="s">
        <v>1914</v>
      </c>
      <c r="C427" s="222">
        <v>414</v>
      </c>
      <c r="D427" s="230">
        <f>D428+D433+D436+D440+D441+D448+D453+D461</f>
        <v>0</v>
      </c>
      <c r="E427" s="230">
        <f>E428+E433+E436+E440+E441+E448+E453+E461</f>
        <v>0</v>
      </c>
      <c r="F427" s="231" t="str">
        <f t="shared" si="7"/>
        <v>-</v>
      </c>
    </row>
    <row r="428" spans="1:6" s="7" customFormat="1" ht="24" x14ac:dyDescent="0.2">
      <c r="A428" s="220">
        <v>811</v>
      </c>
      <c r="B428" s="221" t="s">
        <v>1913</v>
      </c>
      <c r="C428" s="222">
        <v>415</v>
      </c>
      <c r="D428" s="230">
        <f>SUM(D429:D432)</f>
        <v>0</v>
      </c>
      <c r="E428" s="230">
        <f>SUM(E429:E432)</f>
        <v>0</v>
      </c>
      <c r="F428" s="231" t="str">
        <f t="shared" si="7"/>
        <v>-</v>
      </c>
    </row>
    <row r="429" spans="1:6" s="7" customFormat="1" x14ac:dyDescent="0.2">
      <c r="A429" s="220">
        <v>8113</v>
      </c>
      <c r="B429" s="221" t="s">
        <v>1468</v>
      </c>
      <c r="C429" s="222">
        <v>416</v>
      </c>
      <c r="D429" s="223"/>
      <c r="E429" s="223"/>
      <c r="F429" s="229" t="str">
        <f t="shared" si="7"/>
        <v>-</v>
      </c>
    </row>
    <row r="430" spans="1:6" s="7" customFormat="1" x14ac:dyDescent="0.2">
      <c r="A430" s="220">
        <v>8114</v>
      </c>
      <c r="B430" s="221" t="s">
        <v>4219</v>
      </c>
      <c r="C430" s="222">
        <v>417</v>
      </c>
      <c r="D430" s="223"/>
      <c r="E430" s="223"/>
      <c r="F430" s="229" t="str">
        <f t="shared" si="7"/>
        <v>-</v>
      </c>
    </row>
    <row r="431" spans="1:6" s="7" customFormat="1" x14ac:dyDescent="0.2">
      <c r="A431" s="220">
        <v>8115</v>
      </c>
      <c r="B431" s="221" t="s">
        <v>4220</v>
      </c>
      <c r="C431" s="222">
        <v>418</v>
      </c>
      <c r="D431" s="223"/>
      <c r="E431" s="223"/>
      <c r="F431" s="229" t="str">
        <f t="shared" si="7"/>
        <v>-</v>
      </c>
    </row>
    <row r="432" spans="1:6" s="7" customFormat="1" x14ac:dyDescent="0.2">
      <c r="A432" s="220">
        <v>8116</v>
      </c>
      <c r="B432" s="221" t="s">
        <v>4221</v>
      </c>
      <c r="C432" s="222">
        <v>419</v>
      </c>
      <c r="D432" s="223"/>
      <c r="E432" s="223"/>
      <c r="F432" s="229" t="str">
        <f t="shared" si="7"/>
        <v>-</v>
      </c>
    </row>
    <row r="433" spans="1:6" s="7" customFormat="1" ht="24" x14ac:dyDescent="0.2">
      <c r="A433" s="220">
        <v>812</v>
      </c>
      <c r="B433" s="221" t="s">
        <v>1915</v>
      </c>
      <c r="C433" s="222">
        <v>420</v>
      </c>
      <c r="D433" s="230">
        <f>SUM(D434:D435)</f>
        <v>0</v>
      </c>
      <c r="E433" s="230">
        <f>SUM(E434:E435)</f>
        <v>0</v>
      </c>
      <c r="F433" s="231" t="str">
        <f t="shared" si="7"/>
        <v>-</v>
      </c>
    </row>
    <row r="434" spans="1:6" s="7" customFormat="1" x14ac:dyDescent="0.2">
      <c r="A434" s="220">
        <v>8121</v>
      </c>
      <c r="B434" s="362" t="s">
        <v>1285</v>
      </c>
      <c r="C434" s="222">
        <v>421</v>
      </c>
      <c r="D434" s="223"/>
      <c r="E434" s="223"/>
      <c r="F434" s="229" t="str">
        <f t="shared" si="7"/>
        <v>-</v>
      </c>
    </row>
    <row r="435" spans="1:6" s="7" customFormat="1" x14ac:dyDescent="0.2">
      <c r="A435" s="220">
        <v>8122</v>
      </c>
      <c r="B435" s="362" t="s">
        <v>1286</v>
      </c>
      <c r="C435" s="222">
        <v>422</v>
      </c>
      <c r="D435" s="223"/>
      <c r="E435" s="223"/>
      <c r="F435" s="229" t="str">
        <f t="shared" si="7"/>
        <v>-</v>
      </c>
    </row>
    <row r="436" spans="1:6" s="7" customFormat="1" ht="24" x14ac:dyDescent="0.2">
      <c r="A436" s="220">
        <v>813</v>
      </c>
      <c r="B436" s="221" t="s">
        <v>1916</v>
      </c>
      <c r="C436" s="222">
        <v>423</v>
      </c>
      <c r="D436" s="230">
        <f>SUM(D437:D439)</f>
        <v>0</v>
      </c>
      <c r="E436" s="230">
        <f>SUM(E437:E439)</f>
        <v>0</v>
      </c>
      <c r="F436" s="231" t="str">
        <f t="shared" si="7"/>
        <v>-</v>
      </c>
    </row>
    <row r="437" spans="1:6" s="7" customFormat="1" x14ac:dyDescent="0.2">
      <c r="A437" s="220">
        <v>8132</v>
      </c>
      <c r="B437" s="221" t="s">
        <v>3389</v>
      </c>
      <c r="C437" s="222">
        <v>424</v>
      </c>
      <c r="D437" s="223"/>
      <c r="E437" s="223"/>
      <c r="F437" s="229" t="str">
        <f t="shared" si="7"/>
        <v>-</v>
      </c>
    </row>
    <row r="438" spans="1:6" s="7" customFormat="1" x14ac:dyDescent="0.2">
      <c r="A438" s="220">
        <v>8133</v>
      </c>
      <c r="B438" s="221" t="s">
        <v>3635</v>
      </c>
      <c r="C438" s="222">
        <v>425</v>
      </c>
      <c r="D438" s="223"/>
      <c r="E438" s="223"/>
      <c r="F438" s="229" t="str">
        <f t="shared" si="7"/>
        <v>-</v>
      </c>
    </row>
    <row r="439" spans="1:6" s="7" customFormat="1" x14ac:dyDescent="0.2">
      <c r="A439" s="220">
        <v>8134</v>
      </c>
      <c r="B439" s="221" t="s">
        <v>3636</v>
      </c>
      <c r="C439" s="222">
        <v>426</v>
      </c>
      <c r="D439" s="223"/>
      <c r="E439" s="223"/>
      <c r="F439" s="229" t="str">
        <f t="shared" si="7"/>
        <v>-</v>
      </c>
    </row>
    <row r="440" spans="1:6" s="7" customFormat="1" x14ac:dyDescent="0.2">
      <c r="A440" s="220">
        <v>814</v>
      </c>
      <c r="B440" s="221" t="s">
        <v>4213</v>
      </c>
      <c r="C440" s="222">
        <v>427</v>
      </c>
      <c r="D440" s="223"/>
      <c r="E440" s="223"/>
      <c r="F440" s="229" t="str">
        <f t="shared" si="7"/>
        <v>-</v>
      </c>
    </row>
    <row r="441" spans="1:6" s="7" customFormat="1" ht="24" x14ac:dyDescent="0.2">
      <c r="A441" s="220">
        <v>815</v>
      </c>
      <c r="B441" s="221" t="s">
        <v>1917</v>
      </c>
      <c r="C441" s="222">
        <v>428</v>
      </c>
      <c r="D441" s="230">
        <f>SUM(D442:D447)</f>
        <v>0</v>
      </c>
      <c r="E441" s="230">
        <f>SUM(E442:E447)</f>
        <v>0</v>
      </c>
      <c r="F441" s="231" t="str">
        <f t="shared" si="7"/>
        <v>-</v>
      </c>
    </row>
    <row r="442" spans="1:6" s="7" customFormat="1" x14ac:dyDescent="0.2">
      <c r="A442" s="220">
        <v>8153</v>
      </c>
      <c r="B442" s="221" t="s">
        <v>3637</v>
      </c>
      <c r="C442" s="222">
        <v>429</v>
      </c>
      <c r="D442" s="223"/>
      <c r="E442" s="223"/>
      <c r="F442" s="229" t="str">
        <f t="shared" si="7"/>
        <v>-</v>
      </c>
    </row>
    <row r="443" spans="1:6" s="7" customFormat="1" x14ac:dyDescent="0.2">
      <c r="A443" s="220">
        <v>8154</v>
      </c>
      <c r="B443" s="221" t="s">
        <v>3638</v>
      </c>
      <c r="C443" s="222">
        <v>430</v>
      </c>
      <c r="D443" s="223"/>
      <c r="E443" s="223"/>
      <c r="F443" s="229" t="str">
        <f t="shared" si="7"/>
        <v>-</v>
      </c>
    </row>
    <row r="444" spans="1:6" s="7" customFormat="1" x14ac:dyDescent="0.2">
      <c r="A444" s="220">
        <v>8155</v>
      </c>
      <c r="B444" s="221" t="s">
        <v>3639</v>
      </c>
      <c r="C444" s="222">
        <v>431</v>
      </c>
      <c r="D444" s="223"/>
      <c r="E444" s="223"/>
      <c r="F444" s="229" t="str">
        <f t="shared" si="7"/>
        <v>-</v>
      </c>
    </row>
    <row r="445" spans="1:6" s="7" customFormat="1" x14ac:dyDescent="0.2">
      <c r="A445" s="220">
        <v>8156</v>
      </c>
      <c r="B445" s="221" t="s">
        <v>3640</v>
      </c>
      <c r="C445" s="222">
        <v>432</v>
      </c>
      <c r="D445" s="223"/>
      <c r="E445" s="223"/>
      <c r="F445" s="229" t="str">
        <f t="shared" si="7"/>
        <v>-</v>
      </c>
    </row>
    <row r="446" spans="1:6" s="7" customFormat="1" x14ac:dyDescent="0.2">
      <c r="A446" s="220">
        <v>8157</v>
      </c>
      <c r="B446" s="221" t="s">
        <v>3641</v>
      </c>
      <c r="C446" s="222">
        <v>433</v>
      </c>
      <c r="D446" s="223"/>
      <c r="E446" s="223"/>
      <c r="F446" s="229" t="str">
        <f t="shared" si="7"/>
        <v>-</v>
      </c>
    </row>
    <row r="447" spans="1:6" s="7" customFormat="1" x14ac:dyDescent="0.2">
      <c r="A447" s="220">
        <v>8158</v>
      </c>
      <c r="B447" s="221" t="s">
        <v>260</v>
      </c>
      <c r="C447" s="222">
        <v>434</v>
      </c>
      <c r="D447" s="223"/>
      <c r="E447" s="223"/>
      <c r="F447" s="229" t="str">
        <f t="shared" si="7"/>
        <v>-</v>
      </c>
    </row>
    <row r="448" spans="1:6" s="7" customFormat="1" ht="24" x14ac:dyDescent="0.2">
      <c r="A448" s="220">
        <v>816</v>
      </c>
      <c r="B448" s="221" t="s">
        <v>1918</v>
      </c>
      <c r="C448" s="222">
        <v>435</v>
      </c>
      <c r="D448" s="230">
        <f>SUM(D449:D452)</f>
        <v>0</v>
      </c>
      <c r="E448" s="230">
        <f>SUM(E449:E452)</f>
        <v>0</v>
      </c>
      <c r="F448" s="231" t="str">
        <f t="shared" si="7"/>
        <v>-</v>
      </c>
    </row>
    <row r="449" spans="1:6" s="7" customFormat="1" x14ac:dyDescent="0.2">
      <c r="A449" s="220">
        <v>8163</v>
      </c>
      <c r="B449" s="221" t="s">
        <v>261</v>
      </c>
      <c r="C449" s="222">
        <v>436</v>
      </c>
      <c r="D449" s="223"/>
      <c r="E449" s="223"/>
      <c r="F449" s="229" t="str">
        <f t="shared" si="7"/>
        <v>-</v>
      </c>
    </row>
    <row r="450" spans="1:6" s="7" customFormat="1" x14ac:dyDescent="0.2">
      <c r="A450" s="220">
        <v>8164</v>
      </c>
      <c r="B450" s="221" t="s">
        <v>262</v>
      </c>
      <c r="C450" s="222">
        <v>437</v>
      </c>
      <c r="D450" s="223"/>
      <c r="E450" s="223"/>
      <c r="F450" s="229" t="str">
        <f t="shared" si="7"/>
        <v>-</v>
      </c>
    </row>
    <row r="451" spans="1:6" s="7" customFormat="1" x14ac:dyDescent="0.2">
      <c r="A451" s="220">
        <v>8165</v>
      </c>
      <c r="B451" s="221" t="s">
        <v>263</v>
      </c>
      <c r="C451" s="222">
        <v>438</v>
      </c>
      <c r="D451" s="223"/>
      <c r="E451" s="223"/>
      <c r="F451" s="229" t="str">
        <f t="shared" si="7"/>
        <v>-</v>
      </c>
    </row>
    <row r="452" spans="1:6" s="7" customFormat="1" x14ac:dyDescent="0.2">
      <c r="A452" s="220">
        <v>8166</v>
      </c>
      <c r="B452" s="221" t="s">
        <v>2319</v>
      </c>
      <c r="C452" s="222">
        <v>439</v>
      </c>
      <c r="D452" s="223"/>
      <c r="E452" s="223"/>
      <c r="F452" s="229" t="str">
        <f t="shared" si="7"/>
        <v>-</v>
      </c>
    </row>
    <row r="453" spans="1:6" s="7" customFormat="1" x14ac:dyDescent="0.2">
      <c r="A453" s="220">
        <v>817</v>
      </c>
      <c r="B453" s="221" t="s">
        <v>1919</v>
      </c>
      <c r="C453" s="222">
        <v>440</v>
      </c>
      <c r="D453" s="230">
        <f>SUM(D454:D460)</f>
        <v>0</v>
      </c>
      <c r="E453" s="230">
        <f>SUM(E454:E460)</f>
        <v>0</v>
      </c>
      <c r="F453" s="231" t="str">
        <f t="shared" si="7"/>
        <v>-</v>
      </c>
    </row>
    <row r="454" spans="1:6" s="7" customFormat="1" x14ac:dyDescent="0.2">
      <c r="A454" s="220">
        <v>8171</v>
      </c>
      <c r="B454" s="221" t="s">
        <v>1002</v>
      </c>
      <c r="C454" s="222">
        <v>441</v>
      </c>
      <c r="D454" s="223"/>
      <c r="E454" s="223"/>
      <c r="F454" s="229" t="str">
        <f t="shared" si="7"/>
        <v>-</v>
      </c>
    </row>
    <row r="455" spans="1:6" s="7" customFormat="1" x14ac:dyDescent="0.2">
      <c r="A455" s="220">
        <v>8172</v>
      </c>
      <c r="B455" s="221" t="s">
        <v>1003</v>
      </c>
      <c r="C455" s="222">
        <v>442</v>
      </c>
      <c r="D455" s="223"/>
      <c r="E455" s="223"/>
      <c r="F455" s="229" t="str">
        <f t="shared" si="7"/>
        <v>-</v>
      </c>
    </row>
    <row r="456" spans="1:6" s="7" customFormat="1" x14ac:dyDescent="0.2">
      <c r="A456" s="220">
        <v>8173</v>
      </c>
      <c r="B456" s="221" t="s">
        <v>1004</v>
      </c>
      <c r="C456" s="222">
        <v>443</v>
      </c>
      <c r="D456" s="223"/>
      <c r="E456" s="223"/>
      <c r="F456" s="229" t="str">
        <f t="shared" si="7"/>
        <v>-</v>
      </c>
    </row>
    <row r="457" spans="1:6" s="7" customFormat="1" x14ac:dyDescent="0.2">
      <c r="A457" s="220">
        <v>8174</v>
      </c>
      <c r="B457" s="221" t="s">
        <v>1005</v>
      </c>
      <c r="C457" s="222">
        <v>444</v>
      </c>
      <c r="D457" s="223"/>
      <c r="E457" s="223"/>
      <c r="F457" s="229" t="str">
        <f t="shared" si="7"/>
        <v>-</v>
      </c>
    </row>
    <row r="458" spans="1:6" s="7" customFormat="1" x14ac:dyDescent="0.2">
      <c r="A458" s="220">
        <v>8175</v>
      </c>
      <c r="B458" s="221" t="s">
        <v>1006</v>
      </c>
      <c r="C458" s="222">
        <v>445</v>
      </c>
      <c r="D458" s="223"/>
      <c r="E458" s="223"/>
      <c r="F458" s="229" t="str">
        <f t="shared" si="7"/>
        <v>-</v>
      </c>
    </row>
    <row r="459" spans="1:6" s="7" customFormat="1" x14ac:dyDescent="0.2">
      <c r="A459" s="220">
        <v>8176</v>
      </c>
      <c r="B459" s="221" t="s">
        <v>1007</v>
      </c>
      <c r="C459" s="222">
        <v>446</v>
      </c>
      <c r="D459" s="223"/>
      <c r="E459" s="223"/>
      <c r="F459" s="229" t="str">
        <f t="shared" si="7"/>
        <v>-</v>
      </c>
    </row>
    <row r="460" spans="1:6" s="7" customFormat="1" ht="24" x14ac:dyDescent="0.2">
      <c r="A460" s="220">
        <v>8177</v>
      </c>
      <c r="B460" s="221" t="s">
        <v>1008</v>
      </c>
      <c r="C460" s="222">
        <v>447</v>
      </c>
      <c r="D460" s="223"/>
      <c r="E460" s="223"/>
      <c r="F460" s="229" t="str">
        <f t="shared" si="7"/>
        <v>-</v>
      </c>
    </row>
    <row r="461" spans="1:6" s="7" customFormat="1" x14ac:dyDescent="0.2">
      <c r="A461" s="220" t="s">
        <v>684</v>
      </c>
      <c r="B461" s="221" t="s">
        <v>1920</v>
      </c>
      <c r="C461" s="222">
        <v>448</v>
      </c>
      <c r="D461" s="230">
        <f>SUM(D462:D464)</f>
        <v>0</v>
      </c>
      <c r="E461" s="230">
        <f>SUM(E462:E464)</f>
        <v>0</v>
      </c>
      <c r="F461" s="231" t="str">
        <f t="shared" si="7"/>
        <v>-</v>
      </c>
    </row>
    <row r="462" spans="1:6" s="7" customFormat="1" x14ac:dyDescent="0.2">
      <c r="A462" s="220" t="s">
        <v>685</v>
      </c>
      <c r="B462" s="221" t="s">
        <v>686</v>
      </c>
      <c r="C462" s="222">
        <v>449</v>
      </c>
      <c r="D462" s="223"/>
      <c r="E462" s="223"/>
      <c r="F462" s="229" t="str">
        <f t="shared" si="7"/>
        <v>-</v>
      </c>
    </row>
    <row r="463" spans="1:6" s="7" customFormat="1" x14ac:dyDescent="0.2">
      <c r="A463" s="220" t="s">
        <v>687</v>
      </c>
      <c r="B463" s="221" t="s">
        <v>688</v>
      </c>
      <c r="C463" s="222">
        <v>450</v>
      </c>
      <c r="D463" s="223"/>
      <c r="E463" s="223"/>
      <c r="F463" s="229" t="str">
        <f t="shared" si="7"/>
        <v>-</v>
      </c>
    </row>
    <row r="464" spans="1:6" s="7" customFormat="1" x14ac:dyDescent="0.2">
      <c r="A464" s="220" t="s">
        <v>689</v>
      </c>
      <c r="B464" s="221" t="s">
        <v>690</v>
      </c>
      <c r="C464" s="222">
        <v>451</v>
      </c>
      <c r="D464" s="223"/>
      <c r="E464" s="223"/>
      <c r="F464" s="229" t="str">
        <f t="shared" si="7"/>
        <v>-</v>
      </c>
    </row>
    <row r="465" spans="1:6" s="7" customFormat="1" x14ac:dyDescent="0.2">
      <c r="A465" s="220">
        <v>82</v>
      </c>
      <c r="B465" s="221" t="s">
        <v>1921</v>
      </c>
      <c r="C465" s="222">
        <v>452</v>
      </c>
      <c r="D465" s="230">
        <f>D466+D469+D472+D475</f>
        <v>0</v>
      </c>
      <c r="E465" s="230">
        <f>E466+E469+E472+E475</f>
        <v>0</v>
      </c>
      <c r="F465" s="231" t="str">
        <f t="shared" si="7"/>
        <v>-</v>
      </c>
    </row>
    <row r="466" spans="1:6" s="7" customFormat="1" x14ac:dyDescent="0.2">
      <c r="A466" s="220">
        <v>821</v>
      </c>
      <c r="B466" s="221" t="s">
        <v>1922</v>
      </c>
      <c r="C466" s="222">
        <v>453</v>
      </c>
      <c r="D466" s="230">
        <f>SUM(D467:D468)</f>
        <v>0</v>
      </c>
      <c r="E466" s="230">
        <f>SUM(E467:E468)</f>
        <v>0</v>
      </c>
      <c r="F466" s="231" t="str">
        <f t="shared" si="7"/>
        <v>-</v>
      </c>
    </row>
    <row r="467" spans="1:6" s="7" customFormat="1" x14ac:dyDescent="0.2">
      <c r="A467" s="220">
        <v>8211</v>
      </c>
      <c r="B467" s="221" t="s">
        <v>1009</v>
      </c>
      <c r="C467" s="222">
        <v>454</v>
      </c>
      <c r="D467" s="223"/>
      <c r="E467" s="223"/>
      <c r="F467" s="229" t="str">
        <f t="shared" si="7"/>
        <v>-</v>
      </c>
    </row>
    <row r="468" spans="1:6" s="7" customFormat="1" x14ac:dyDescent="0.2">
      <c r="A468" s="220">
        <v>8212</v>
      </c>
      <c r="B468" s="221" t="s">
        <v>1010</v>
      </c>
      <c r="C468" s="222">
        <v>455</v>
      </c>
      <c r="D468" s="223"/>
      <c r="E468" s="223"/>
      <c r="F468" s="229" t="str">
        <f t="shared" si="7"/>
        <v>-</v>
      </c>
    </row>
    <row r="469" spans="1:6" s="7" customFormat="1" x14ac:dyDescent="0.2">
      <c r="A469" s="220">
        <v>822</v>
      </c>
      <c r="B469" s="221" t="s">
        <v>1923</v>
      </c>
      <c r="C469" s="222">
        <v>456</v>
      </c>
      <c r="D469" s="230">
        <f>SUM(D470:D471)</f>
        <v>0</v>
      </c>
      <c r="E469" s="230">
        <f>SUM(E470:E471)</f>
        <v>0</v>
      </c>
      <c r="F469" s="231" t="str">
        <f t="shared" si="7"/>
        <v>-</v>
      </c>
    </row>
    <row r="470" spans="1:6" s="7" customFormat="1" x14ac:dyDescent="0.2">
      <c r="A470" s="220">
        <v>8221</v>
      </c>
      <c r="B470" s="221" t="s">
        <v>1789</v>
      </c>
      <c r="C470" s="222">
        <v>457</v>
      </c>
      <c r="D470" s="223"/>
      <c r="E470" s="223"/>
      <c r="F470" s="229" t="str">
        <f t="shared" si="7"/>
        <v>-</v>
      </c>
    </row>
    <row r="471" spans="1:6" s="7" customFormat="1" x14ac:dyDescent="0.2">
      <c r="A471" s="220">
        <v>8222</v>
      </c>
      <c r="B471" s="221" t="s">
        <v>1713</v>
      </c>
      <c r="C471" s="222">
        <v>458</v>
      </c>
      <c r="D471" s="223"/>
      <c r="E471" s="223"/>
      <c r="F471" s="229" t="str">
        <f t="shared" si="7"/>
        <v>-</v>
      </c>
    </row>
    <row r="472" spans="1:6" s="7" customFormat="1" x14ac:dyDescent="0.2">
      <c r="A472" s="220">
        <v>823</v>
      </c>
      <c r="B472" s="221" t="s">
        <v>1924</v>
      </c>
      <c r="C472" s="222">
        <v>459</v>
      </c>
      <c r="D472" s="230">
        <f>SUM(D473:D474)</f>
        <v>0</v>
      </c>
      <c r="E472" s="230">
        <f>SUM(E473:E474)</f>
        <v>0</v>
      </c>
      <c r="F472" s="231" t="str">
        <f t="shared" si="7"/>
        <v>-</v>
      </c>
    </row>
    <row r="473" spans="1:6" s="7" customFormat="1" x14ac:dyDescent="0.2">
      <c r="A473" s="220">
        <v>8231</v>
      </c>
      <c r="B473" s="221" t="s">
        <v>3821</v>
      </c>
      <c r="C473" s="222">
        <v>460</v>
      </c>
      <c r="D473" s="223"/>
      <c r="E473" s="223"/>
      <c r="F473" s="229" t="str">
        <f t="shared" si="7"/>
        <v>-</v>
      </c>
    </row>
    <row r="474" spans="1:6" s="7" customFormat="1" x14ac:dyDescent="0.2">
      <c r="A474" s="220">
        <v>8232</v>
      </c>
      <c r="B474" s="221" t="s">
        <v>3822</v>
      </c>
      <c r="C474" s="222">
        <v>461</v>
      </c>
      <c r="D474" s="223"/>
      <c r="E474" s="223"/>
      <c r="F474" s="229" t="str">
        <f t="shared" si="7"/>
        <v>-</v>
      </c>
    </row>
    <row r="475" spans="1:6" s="7" customFormat="1" x14ac:dyDescent="0.2">
      <c r="A475" s="220">
        <v>824</v>
      </c>
      <c r="B475" s="221" t="s">
        <v>1925</v>
      </c>
      <c r="C475" s="222">
        <v>462</v>
      </c>
      <c r="D475" s="230">
        <f>SUM(D476:D477)</f>
        <v>0</v>
      </c>
      <c r="E475" s="230">
        <f>SUM(E476:E477)</f>
        <v>0</v>
      </c>
      <c r="F475" s="231" t="str">
        <f t="shared" si="7"/>
        <v>-</v>
      </c>
    </row>
    <row r="476" spans="1:6" s="7" customFormat="1" x14ac:dyDescent="0.2">
      <c r="A476" s="220">
        <v>8241</v>
      </c>
      <c r="B476" s="221" t="s">
        <v>3823</v>
      </c>
      <c r="C476" s="222">
        <v>463</v>
      </c>
      <c r="D476" s="223"/>
      <c r="E476" s="223"/>
      <c r="F476" s="229" t="str">
        <f t="shared" si="7"/>
        <v>-</v>
      </c>
    </row>
    <row r="477" spans="1:6" s="7" customFormat="1" x14ac:dyDescent="0.2">
      <c r="A477" s="220">
        <v>8242</v>
      </c>
      <c r="B477" s="221" t="s">
        <v>2021</v>
      </c>
      <c r="C477" s="222">
        <v>464</v>
      </c>
      <c r="D477" s="223"/>
      <c r="E477" s="223"/>
      <c r="F477" s="229" t="str">
        <f t="shared" si="7"/>
        <v>-</v>
      </c>
    </row>
    <row r="478" spans="1:6" s="7" customFormat="1" x14ac:dyDescent="0.2">
      <c r="A478" s="220">
        <v>83</v>
      </c>
      <c r="B478" s="221" t="s">
        <v>1926</v>
      </c>
      <c r="C478" s="222">
        <v>465</v>
      </c>
      <c r="D478" s="230">
        <f>D479+D483+D484+D487</f>
        <v>0</v>
      </c>
      <c r="E478" s="230">
        <f>E479+E483+E484+E487</f>
        <v>0</v>
      </c>
      <c r="F478" s="231" t="str">
        <f t="shared" si="7"/>
        <v>-</v>
      </c>
    </row>
    <row r="479" spans="1:6" s="7" customFormat="1" ht="24" x14ac:dyDescent="0.2">
      <c r="A479" s="220">
        <v>831</v>
      </c>
      <c r="B479" s="221" t="s">
        <v>1927</v>
      </c>
      <c r="C479" s="222">
        <v>466</v>
      </c>
      <c r="D479" s="230">
        <f>SUM(D480:D482)</f>
        <v>0</v>
      </c>
      <c r="E479" s="230">
        <f>SUM(E480:E482)</f>
        <v>0</v>
      </c>
      <c r="F479" s="231" t="str">
        <f t="shared" si="7"/>
        <v>-</v>
      </c>
    </row>
    <row r="480" spans="1:6" s="7" customFormat="1" x14ac:dyDescent="0.2">
      <c r="A480" s="220">
        <v>8312</v>
      </c>
      <c r="B480" s="221" t="s">
        <v>1011</v>
      </c>
      <c r="C480" s="222">
        <v>467</v>
      </c>
      <c r="D480" s="223"/>
      <c r="E480" s="223"/>
      <c r="F480" s="229" t="str">
        <f t="shared" si="7"/>
        <v>-</v>
      </c>
    </row>
    <row r="481" spans="1:6" s="7" customFormat="1" x14ac:dyDescent="0.2">
      <c r="A481" s="220">
        <v>8313</v>
      </c>
      <c r="B481" s="221" t="s">
        <v>3168</v>
      </c>
      <c r="C481" s="222">
        <v>468</v>
      </c>
      <c r="D481" s="223"/>
      <c r="E481" s="223"/>
      <c r="F481" s="229" t="str">
        <f t="shared" si="7"/>
        <v>-</v>
      </c>
    </row>
    <row r="482" spans="1:6" s="7" customFormat="1" x14ac:dyDescent="0.2">
      <c r="A482" s="220">
        <v>8314</v>
      </c>
      <c r="B482" s="221" t="s">
        <v>2565</v>
      </c>
      <c r="C482" s="222">
        <v>469</v>
      </c>
      <c r="D482" s="223"/>
      <c r="E482" s="223"/>
      <c r="F482" s="229" t="str">
        <f t="shared" si="7"/>
        <v>-</v>
      </c>
    </row>
    <row r="483" spans="1:6" s="7" customFormat="1" x14ac:dyDescent="0.2">
      <c r="A483" s="220">
        <v>832</v>
      </c>
      <c r="B483" s="221" t="s">
        <v>3579</v>
      </c>
      <c r="C483" s="222">
        <v>470</v>
      </c>
      <c r="D483" s="223"/>
      <c r="E483" s="223"/>
      <c r="F483" s="229" t="str">
        <f t="shared" si="7"/>
        <v>-</v>
      </c>
    </row>
    <row r="484" spans="1:6" s="7" customFormat="1" ht="24" x14ac:dyDescent="0.2">
      <c r="A484" s="220">
        <v>833</v>
      </c>
      <c r="B484" s="221" t="s">
        <v>1928</v>
      </c>
      <c r="C484" s="222">
        <v>471</v>
      </c>
      <c r="D484" s="230">
        <f>SUM(D485:D486)</f>
        <v>0</v>
      </c>
      <c r="E484" s="230">
        <f>SUM(E485:E486)</f>
        <v>0</v>
      </c>
      <c r="F484" s="231" t="str">
        <f t="shared" si="7"/>
        <v>-</v>
      </c>
    </row>
    <row r="485" spans="1:6" s="7" customFormat="1" ht="24" x14ac:dyDescent="0.2">
      <c r="A485" s="220">
        <v>8331</v>
      </c>
      <c r="B485" s="221" t="s">
        <v>2954</v>
      </c>
      <c r="C485" s="222">
        <v>472</v>
      </c>
      <c r="D485" s="223"/>
      <c r="E485" s="223"/>
      <c r="F485" s="229" t="str">
        <f t="shared" si="7"/>
        <v>-</v>
      </c>
    </row>
    <row r="486" spans="1:6" s="7" customFormat="1" x14ac:dyDescent="0.2">
      <c r="A486" s="220">
        <v>8332</v>
      </c>
      <c r="B486" s="221" t="s">
        <v>3440</v>
      </c>
      <c r="C486" s="222">
        <v>473</v>
      </c>
      <c r="D486" s="223"/>
      <c r="E486" s="223"/>
      <c r="F486" s="229" t="str">
        <f t="shared" si="7"/>
        <v>-</v>
      </c>
    </row>
    <row r="487" spans="1:6" s="7" customFormat="1" ht="24" x14ac:dyDescent="0.2">
      <c r="A487" s="220">
        <v>834</v>
      </c>
      <c r="B487" s="221" t="s">
        <v>1405</v>
      </c>
      <c r="C487" s="222">
        <v>474</v>
      </c>
      <c r="D487" s="230">
        <f>SUM(D488:D489)</f>
        <v>0</v>
      </c>
      <c r="E487" s="230">
        <f>SUM(E488:E489)</f>
        <v>0</v>
      </c>
      <c r="F487" s="231" t="str">
        <f t="shared" si="7"/>
        <v>-</v>
      </c>
    </row>
    <row r="488" spans="1:6" s="7" customFormat="1" x14ac:dyDescent="0.2">
      <c r="A488" s="220">
        <v>8341</v>
      </c>
      <c r="B488" s="221" t="s">
        <v>3870</v>
      </c>
      <c r="C488" s="222">
        <v>475</v>
      </c>
      <c r="D488" s="223"/>
      <c r="E488" s="223"/>
      <c r="F488" s="229" t="str">
        <f t="shared" si="7"/>
        <v>-</v>
      </c>
    </row>
    <row r="489" spans="1:6" s="7" customFormat="1" x14ac:dyDescent="0.2">
      <c r="A489" s="220">
        <v>8342</v>
      </c>
      <c r="B489" s="221" t="s">
        <v>3871</v>
      </c>
      <c r="C489" s="222">
        <v>476</v>
      </c>
      <c r="D489" s="223"/>
      <c r="E489" s="223"/>
      <c r="F489" s="229" t="str">
        <f t="shared" si="7"/>
        <v>-</v>
      </c>
    </row>
    <row r="490" spans="1:6" s="7" customFormat="1" x14ac:dyDescent="0.2">
      <c r="A490" s="220">
        <v>84</v>
      </c>
      <c r="B490" s="221" t="s">
        <v>1929</v>
      </c>
      <c r="C490" s="222">
        <v>477</v>
      </c>
      <c r="D490" s="230">
        <f>D491+D496+D500+D501+D508+D513</f>
        <v>0</v>
      </c>
      <c r="E490" s="230">
        <f>E491+E496+E500+E501+E508+E513</f>
        <v>0</v>
      </c>
      <c r="F490" s="231" t="str">
        <f t="shared" ref="F490:F553" si="8">IF(D490&lt;&gt;0,IF(E490/D490&gt;=100,"&gt;&gt;100",E490/D490*100),"-")</f>
        <v>-</v>
      </c>
    </row>
    <row r="491" spans="1:6" s="7" customFormat="1" ht="24" x14ac:dyDescent="0.2">
      <c r="A491" s="220">
        <v>841</v>
      </c>
      <c r="B491" s="221" t="s">
        <v>1895</v>
      </c>
      <c r="C491" s="222">
        <v>478</v>
      </c>
      <c r="D491" s="230">
        <f>SUM(D492:D495)</f>
        <v>0</v>
      </c>
      <c r="E491" s="230">
        <f>SUM(E492:E495)</f>
        <v>0</v>
      </c>
      <c r="F491" s="231" t="str">
        <f t="shared" si="8"/>
        <v>-</v>
      </c>
    </row>
    <row r="492" spans="1:6" s="7" customFormat="1" x14ac:dyDescent="0.2">
      <c r="A492" s="220">
        <v>8413</v>
      </c>
      <c r="B492" s="221" t="s">
        <v>3615</v>
      </c>
      <c r="C492" s="222">
        <v>479</v>
      </c>
      <c r="D492" s="223"/>
      <c r="E492" s="223"/>
      <c r="F492" s="229" t="str">
        <f t="shared" si="8"/>
        <v>-</v>
      </c>
    </row>
    <row r="493" spans="1:6" s="7" customFormat="1" x14ac:dyDescent="0.2">
      <c r="A493" s="220">
        <v>8414</v>
      </c>
      <c r="B493" s="221" t="s">
        <v>3441</v>
      </c>
      <c r="C493" s="222">
        <v>480</v>
      </c>
      <c r="D493" s="223"/>
      <c r="E493" s="223"/>
      <c r="F493" s="229" t="str">
        <f t="shared" si="8"/>
        <v>-</v>
      </c>
    </row>
    <row r="494" spans="1:6" s="7" customFormat="1" x14ac:dyDescent="0.2">
      <c r="A494" s="220">
        <v>8415</v>
      </c>
      <c r="B494" s="221" t="s">
        <v>4205</v>
      </c>
      <c r="C494" s="222">
        <v>481</v>
      </c>
      <c r="D494" s="223"/>
      <c r="E494" s="223"/>
      <c r="F494" s="229" t="str">
        <f t="shared" si="8"/>
        <v>-</v>
      </c>
    </row>
    <row r="495" spans="1:6" s="7" customFormat="1" x14ac:dyDescent="0.2">
      <c r="A495" s="220">
        <v>8416</v>
      </c>
      <c r="B495" s="221" t="s">
        <v>964</v>
      </c>
      <c r="C495" s="222">
        <v>482</v>
      </c>
      <c r="D495" s="223"/>
      <c r="E495" s="223"/>
      <c r="F495" s="229" t="str">
        <f t="shared" si="8"/>
        <v>-</v>
      </c>
    </row>
    <row r="496" spans="1:6" s="7" customFormat="1" ht="24" x14ac:dyDescent="0.2">
      <c r="A496" s="220">
        <v>842</v>
      </c>
      <c r="B496" s="221" t="s">
        <v>1896</v>
      </c>
      <c r="C496" s="222">
        <v>483</v>
      </c>
      <c r="D496" s="230">
        <f>SUM(D497:D499)</f>
        <v>0</v>
      </c>
      <c r="E496" s="230">
        <f>SUM(E497:E499)</f>
        <v>0</v>
      </c>
      <c r="F496" s="231" t="str">
        <f t="shared" si="8"/>
        <v>-</v>
      </c>
    </row>
    <row r="497" spans="1:6" s="7" customFormat="1" x14ac:dyDescent="0.2">
      <c r="A497" s="220">
        <v>8422</v>
      </c>
      <c r="B497" s="221" t="s">
        <v>965</v>
      </c>
      <c r="C497" s="222">
        <v>484</v>
      </c>
      <c r="D497" s="223"/>
      <c r="E497" s="223"/>
      <c r="F497" s="229" t="str">
        <f t="shared" si="8"/>
        <v>-</v>
      </c>
    </row>
    <row r="498" spans="1:6" s="7" customFormat="1" x14ac:dyDescent="0.2">
      <c r="A498" s="220">
        <v>8423</v>
      </c>
      <c r="B498" s="221" t="s">
        <v>966</v>
      </c>
      <c r="C498" s="222">
        <v>485</v>
      </c>
      <c r="D498" s="223"/>
      <c r="E498" s="223"/>
      <c r="F498" s="229" t="str">
        <f t="shared" si="8"/>
        <v>-</v>
      </c>
    </row>
    <row r="499" spans="1:6" s="7" customFormat="1" x14ac:dyDescent="0.2">
      <c r="A499" s="220">
        <v>8424</v>
      </c>
      <c r="B499" s="221" t="s">
        <v>967</v>
      </c>
      <c r="C499" s="222">
        <v>486</v>
      </c>
      <c r="D499" s="223"/>
      <c r="E499" s="223"/>
      <c r="F499" s="229" t="str">
        <f t="shared" si="8"/>
        <v>-</v>
      </c>
    </row>
    <row r="500" spans="1:6" s="7" customFormat="1" x14ac:dyDescent="0.2">
      <c r="A500" s="220">
        <v>843</v>
      </c>
      <c r="B500" s="221" t="s">
        <v>2008</v>
      </c>
      <c r="C500" s="222">
        <v>487</v>
      </c>
      <c r="D500" s="223"/>
      <c r="E500" s="223"/>
      <c r="F500" s="229" t="str">
        <f t="shared" si="8"/>
        <v>-</v>
      </c>
    </row>
    <row r="501" spans="1:6" s="7" customFormat="1" ht="24" x14ac:dyDescent="0.2">
      <c r="A501" s="220">
        <v>844</v>
      </c>
      <c r="B501" s="221" t="s">
        <v>44</v>
      </c>
      <c r="C501" s="222">
        <v>488</v>
      </c>
      <c r="D501" s="230">
        <f>SUM(D502:D507)</f>
        <v>0</v>
      </c>
      <c r="E501" s="230">
        <f>SUM(E502:E507)</f>
        <v>0</v>
      </c>
      <c r="F501" s="231" t="str">
        <f t="shared" si="8"/>
        <v>-</v>
      </c>
    </row>
    <row r="502" spans="1:6" s="7" customFormat="1" x14ac:dyDescent="0.2">
      <c r="A502" s="220">
        <v>8443</v>
      </c>
      <c r="B502" s="221" t="s">
        <v>968</v>
      </c>
      <c r="C502" s="222">
        <v>489</v>
      </c>
      <c r="D502" s="223"/>
      <c r="E502" s="223"/>
      <c r="F502" s="229" t="str">
        <f t="shared" si="8"/>
        <v>-</v>
      </c>
    </row>
    <row r="503" spans="1:6" s="7" customFormat="1" x14ac:dyDescent="0.2">
      <c r="A503" s="220">
        <v>8444</v>
      </c>
      <c r="B503" s="221" t="s">
        <v>969</v>
      </c>
      <c r="C503" s="222">
        <v>490</v>
      </c>
      <c r="D503" s="223"/>
      <c r="E503" s="223"/>
      <c r="F503" s="229" t="str">
        <f t="shared" si="8"/>
        <v>-</v>
      </c>
    </row>
    <row r="504" spans="1:6" s="7" customFormat="1" x14ac:dyDescent="0.2">
      <c r="A504" s="220">
        <v>8445</v>
      </c>
      <c r="B504" s="221" t="s">
        <v>970</v>
      </c>
      <c r="C504" s="222">
        <v>491</v>
      </c>
      <c r="D504" s="223"/>
      <c r="E504" s="223"/>
      <c r="F504" s="229" t="str">
        <f t="shared" si="8"/>
        <v>-</v>
      </c>
    </row>
    <row r="505" spans="1:6" s="7" customFormat="1" x14ac:dyDescent="0.2">
      <c r="A505" s="220">
        <v>8446</v>
      </c>
      <c r="B505" s="221" t="s">
        <v>971</v>
      </c>
      <c r="C505" s="222">
        <v>492</v>
      </c>
      <c r="D505" s="223"/>
      <c r="E505" s="223"/>
      <c r="F505" s="229" t="str">
        <f t="shared" si="8"/>
        <v>-</v>
      </c>
    </row>
    <row r="506" spans="1:6" s="7" customFormat="1" x14ac:dyDescent="0.2">
      <c r="A506" s="220">
        <v>8447</v>
      </c>
      <c r="B506" s="221" t="s">
        <v>972</v>
      </c>
      <c r="C506" s="222">
        <v>493</v>
      </c>
      <c r="D506" s="223"/>
      <c r="E506" s="223"/>
      <c r="F506" s="229" t="str">
        <f t="shared" si="8"/>
        <v>-</v>
      </c>
    </row>
    <row r="507" spans="1:6" s="7" customFormat="1" x14ac:dyDescent="0.2">
      <c r="A507" s="220">
        <v>8448</v>
      </c>
      <c r="B507" s="221" t="s">
        <v>973</v>
      </c>
      <c r="C507" s="222">
        <v>494</v>
      </c>
      <c r="D507" s="223"/>
      <c r="E507" s="223"/>
      <c r="F507" s="229" t="str">
        <f t="shared" si="8"/>
        <v>-</v>
      </c>
    </row>
    <row r="508" spans="1:6" s="7" customFormat="1" x14ac:dyDescent="0.2">
      <c r="A508" s="220">
        <v>845</v>
      </c>
      <c r="B508" s="362" t="s">
        <v>1897</v>
      </c>
      <c r="C508" s="222">
        <v>495</v>
      </c>
      <c r="D508" s="230">
        <f>SUM(D509:D512)</f>
        <v>0</v>
      </c>
      <c r="E508" s="230">
        <f>SUM(E509:E512)</f>
        <v>0</v>
      </c>
      <c r="F508" s="231" t="str">
        <f t="shared" si="8"/>
        <v>-</v>
      </c>
    </row>
    <row r="509" spans="1:6" s="7" customFormat="1" x14ac:dyDescent="0.2">
      <c r="A509" s="220">
        <v>8453</v>
      </c>
      <c r="B509" s="221" t="s">
        <v>1693</v>
      </c>
      <c r="C509" s="222">
        <v>496</v>
      </c>
      <c r="D509" s="223"/>
      <c r="E509" s="223"/>
      <c r="F509" s="229" t="str">
        <f t="shared" si="8"/>
        <v>-</v>
      </c>
    </row>
    <row r="510" spans="1:6" s="7" customFormat="1" x14ac:dyDescent="0.2">
      <c r="A510" s="220">
        <v>8454</v>
      </c>
      <c r="B510" s="221" t="s">
        <v>4214</v>
      </c>
      <c r="C510" s="222">
        <v>497</v>
      </c>
      <c r="D510" s="223"/>
      <c r="E510" s="223"/>
      <c r="F510" s="229" t="str">
        <f t="shared" si="8"/>
        <v>-</v>
      </c>
    </row>
    <row r="511" spans="1:6" s="7" customFormat="1" x14ac:dyDescent="0.2">
      <c r="A511" s="220">
        <v>8455</v>
      </c>
      <c r="B511" s="221" t="s">
        <v>4215</v>
      </c>
      <c r="C511" s="222">
        <v>498</v>
      </c>
      <c r="D511" s="223"/>
      <c r="E511" s="223"/>
      <c r="F511" s="229" t="str">
        <f t="shared" si="8"/>
        <v>-</v>
      </c>
    </row>
    <row r="512" spans="1:6" s="7" customFormat="1" x14ac:dyDescent="0.2">
      <c r="A512" s="220">
        <v>8456</v>
      </c>
      <c r="B512" s="221" t="s">
        <v>4216</v>
      </c>
      <c r="C512" s="222">
        <v>499</v>
      </c>
      <c r="D512" s="223"/>
      <c r="E512" s="223"/>
      <c r="F512" s="229" t="str">
        <f t="shared" si="8"/>
        <v>-</v>
      </c>
    </row>
    <row r="513" spans="1:6" s="7" customFormat="1" x14ac:dyDescent="0.2">
      <c r="A513" s="220">
        <v>847</v>
      </c>
      <c r="B513" s="221" t="s">
        <v>1898</v>
      </c>
      <c r="C513" s="222">
        <v>500</v>
      </c>
      <c r="D513" s="230">
        <f>SUM(D514:D520)</f>
        <v>0</v>
      </c>
      <c r="E513" s="230">
        <f>SUM(E514:E520)</f>
        <v>0</v>
      </c>
      <c r="F513" s="231" t="str">
        <f t="shared" si="8"/>
        <v>-</v>
      </c>
    </row>
    <row r="514" spans="1:6" s="7" customFormat="1" x14ac:dyDescent="0.2">
      <c r="A514" s="220">
        <v>8471</v>
      </c>
      <c r="B514" s="221" t="s">
        <v>4217</v>
      </c>
      <c r="C514" s="222">
        <v>501</v>
      </c>
      <c r="D514" s="223"/>
      <c r="E514" s="223"/>
      <c r="F514" s="229" t="str">
        <f t="shared" si="8"/>
        <v>-</v>
      </c>
    </row>
    <row r="515" spans="1:6" s="7" customFormat="1" x14ac:dyDescent="0.2">
      <c r="A515" s="220">
        <v>8472</v>
      </c>
      <c r="B515" s="221" t="s">
        <v>4218</v>
      </c>
      <c r="C515" s="222">
        <v>502</v>
      </c>
      <c r="D515" s="223"/>
      <c r="E515" s="223"/>
      <c r="F515" s="229" t="str">
        <f t="shared" si="8"/>
        <v>-</v>
      </c>
    </row>
    <row r="516" spans="1:6" s="7" customFormat="1" x14ac:dyDescent="0.2">
      <c r="A516" s="220">
        <v>8473</v>
      </c>
      <c r="B516" s="221" t="s">
        <v>3246</v>
      </c>
      <c r="C516" s="222">
        <v>503</v>
      </c>
      <c r="D516" s="223"/>
      <c r="E516" s="223"/>
      <c r="F516" s="229" t="str">
        <f t="shared" si="8"/>
        <v>-</v>
      </c>
    </row>
    <row r="517" spans="1:6" s="7" customFormat="1" x14ac:dyDescent="0.2">
      <c r="A517" s="220">
        <v>8474</v>
      </c>
      <c r="B517" s="221" t="s">
        <v>3247</v>
      </c>
      <c r="C517" s="222">
        <v>504</v>
      </c>
      <c r="D517" s="223"/>
      <c r="E517" s="223"/>
      <c r="F517" s="229" t="str">
        <f t="shared" si="8"/>
        <v>-</v>
      </c>
    </row>
    <row r="518" spans="1:6" s="7" customFormat="1" x14ac:dyDescent="0.2">
      <c r="A518" s="220">
        <v>8475</v>
      </c>
      <c r="B518" s="221" t="s">
        <v>3248</v>
      </c>
      <c r="C518" s="222">
        <v>505</v>
      </c>
      <c r="D518" s="223"/>
      <c r="E518" s="223"/>
      <c r="F518" s="229" t="str">
        <f t="shared" si="8"/>
        <v>-</v>
      </c>
    </row>
    <row r="519" spans="1:6" s="7" customFormat="1" x14ac:dyDescent="0.2">
      <c r="A519" s="220">
        <v>8476</v>
      </c>
      <c r="B519" s="221" t="s">
        <v>386</v>
      </c>
      <c r="C519" s="222">
        <v>506</v>
      </c>
      <c r="D519" s="223"/>
      <c r="E519" s="223"/>
      <c r="F519" s="229" t="str">
        <f t="shared" si="8"/>
        <v>-</v>
      </c>
    </row>
    <row r="520" spans="1:6" s="7" customFormat="1" ht="24" x14ac:dyDescent="0.2">
      <c r="A520" s="220" t="s">
        <v>387</v>
      </c>
      <c r="B520" s="221" t="s">
        <v>388</v>
      </c>
      <c r="C520" s="222">
        <v>507</v>
      </c>
      <c r="D520" s="223"/>
      <c r="E520" s="223"/>
      <c r="F520" s="229" t="str">
        <f t="shared" si="8"/>
        <v>-</v>
      </c>
    </row>
    <row r="521" spans="1:6" s="7" customFormat="1" x14ac:dyDescent="0.2">
      <c r="A521" s="220">
        <v>85</v>
      </c>
      <c r="B521" s="221" t="s">
        <v>36</v>
      </c>
      <c r="C521" s="222">
        <v>508</v>
      </c>
      <c r="D521" s="230">
        <f>D522+D525+D528+D531</f>
        <v>0</v>
      </c>
      <c r="E521" s="230">
        <f>E522+E525+E528+E531</f>
        <v>0</v>
      </c>
      <c r="F521" s="231" t="str">
        <f t="shared" si="8"/>
        <v>-</v>
      </c>
    </row>
    <row r="522" spans="1:6" s="7" customFormat="1" x14ac:dyDescent="0.2">
      <c r="A522" s="220">
        <v>851</v>
      </c>
      <c r="B522" s="221" t="s">
        <v>1082</v>
      </c>
      <c r="C522" s="222">
        <v>509</v>
      </c>
      <c r="D522" s="230">
        <f>SUM(D523:D524)</f>
        <v>0</v>
      </c>
      <c r="E522" s="230">
        <f>SUM(E523:E524)</f>
        <v>0</v>
      </c>
      <c r="F522" s="231" t="str">
        <f t="shared" si="8"/>
        <v>-</v>
      </c>
    </row>
    <row r="523" spans="1:6" s="7" customFormat="1" x14ac:dyDescent="0.2">
      <c r="A523" s="220">
        <v>8511</v>
      </c>
      <c r="B523" s="221" t="s">
        <v>1408</v>
      </c>
      <c r="C523" s="222">
        <v>510</v>
      </c>
      <c r="D523" s="223"/>
      <c r="E523" s="223"/>
      <c r="F523" s="229" t="str">
        <f t="shared" si="8"/>
        <v>-</v>
      </c>
    </row>
    <row r="524" spans="1:6" s="7" customFormat="1" x14ac:dyDescent="0.2">
      <c r="A524" s="220">
        <v>8512</v>
      </c>
      <c r="B524" s="221" t="s">
        <v>3128</v>
      </c>
      <c r="C524" s="222">
        <v>511</v>
      </c>
      <c r="D524" s="223"/>
      <c r="E524" s="223"/>
      <c r="F524" s="229" t="str">
        <f t="shared" si="8"/>
        <v>-</v>
      </c>
    </row>
    <row r="525" spans="1:6" s="7" customFormat="1" x14ac:dyDescent="0.2">
      <c r="A525" s="220">
        <v>852</v>
      </c>
      <c r="B525" s="221" t="s">
        <v>1083</v>
      </c>
      <c r="C525" s="222">
        <v>512</v>
      </c>
      <c r="D525" s="230">
        <f>SUM(D526:D527)</f>
        <v>0</v>
      </c>
      <c r="E525" s="230">
        <f>SUM(E526:E527)</f>
        <v>0</v>
      </c>
      <c r="F525" s="231" t="str">
        <f t="shared" si="8"/>
        <v>-</v>
      </c>
    </row>
    <row r="526" spans="1:6" s="7" customFormat="1" x14ac:dyDescent="0.2">
      <c r="A526" s="220">
        <v>8521</v>
      </c>
      <c r="B526" s="221" t="s">
        <v>1789</v>
      </c>
      <c r="C526" s="222">
        <v>513</v>
      </c>
      <c r="D526" s="223"/>
      <c r="E526" s="223"/>
      <c r="F526" s="229" t="str">
        <f t="shared" si="8"/>
        <v>-</v>
      </c>
    </row>
    <row r="527" spans="1:6" s="7" customFormat="1" x14ac:dyDescent="0.2">
      <c r="A527" s="220">
        <v>8522</v>
      </c>
      <c r="B527" s="221" t="s">
        <v>1713</v>
      </c>
      <c r="C527" s="222">
        <v>514</v>
      </c>
      <c r="D527" s="223"/>
      <c r="E527" s="223"/>
      <c r="F527" s="229" t="str">
        <f t="shared" si="8"/>
        <v>-</v>
      </c>
    </row>
    <row r="528" spans="1:6" s="7" customFormat="1" x14ac:dyDescent="0.2">
      <c r="A528" s="220">
        <v>853</v>
      </c>
      <c r="B528" s="221" t="s">
        <v>4</v>
      </c>
      <c r="C528" s="222">
        <v>515</v>
      </c>
      <c r="D528" s="230">
        <f>SUM(D529:D530)</f>
        <v>0</v>
      </c>
      <c r="E528" s="230">
        <f>SUM(E529:E530)</f>
        <v>0</v>
      </c>
      <c r="F528" s="231" t="str">
        <f t="shared" si="8"/>
        <v>-</v>
      </c>
    </row>
    <row r="529" spans="1:6" s="7" customFormat="1" x14ac:dyDescent="0.2">
      <c r="A529" s="220">
        <v>8531</v>
      </c>
      <c r="B529" s="221" t="s">
        <v>3821</v>
      </c>
      <c r="C529" s="222">
        <v>516</v>
      </c>
      <c r="D529" s="223"/>
      <c r="E529" s="223"/>
      <c r="F529" s="229" t="str">
        <f t="shared" si="8"/>
        <v>-</v>
      </c>
    </row>
    <row r="530" spans="1:6" s="7" customFormat="1" x14ac:dyDescent="0.2">
      <c r="A530" s="220">
        <v>8532</v>
      </c>
      <c r="B530" s="221" t="s">
        <v>3822</v>
      </c>
      <c r="C530" s="222">
        <v>517</v>
      </c>
      <c r="D530" s="223"/>
      <c r="E530" s="223"/>
      <c r="F530" s="229" t="str">
        <f t="shared" si="8"/>
        <v>-</v>
      </c>
    </row>
    <row r="531" spans="1:6" s="7" customFormat="1" x14ac:dyDescent="0.2">
      <c r="A531" s="220">
        <v>854</v>
      </c>
      <c r="B531" s="221" t="s">
        <v>5</v>
      </c>
      <c r="C531" s="222">
        <v>518</v>
      </c>
      <c r="D531" s="230">
        <f>SUM(D532:D533)</f>
        <v>0</v>
      </c>
      <c r="E531" s="230">
        <f>SUM(E532:E533)</f>
        <v>0</v>
      </c>
      <c r="F531" s="231" t="str">
        <f t="shared" si="8"/>
        <v>-</v>
      </c>
    </row>
    <row r="532" spans="1:6" s="7" customFormat="1" x14ac:dyDescent="0.2">
      <c r="A532" s="220">
        <v>8541</v>
      </c>
      <c r="B532" s="221" t="s">
        <v>2847</v>
      </c>
      <c r="C532" s="222">
        <v>519</v>
      </c>
      <c r="D532" s="223"/>
      <c r="E532" s="223"/>
      <c r="F532" s="229" t="str">
        <f t="shared" si="8"/>
        <v>-</v>
      </c>
    </row>
    <row r="533" spans="1:6" s="7" customFormat="1" x14ac:dyDescent="0.2">
      <c r="A533" s="220">
        <v>8542</v>
      </c>
      <c r="B533" s="221" t="s">
        <v>4291</v>
      </c>
      <c r="C533" s="222">
        <v>520</v>
      </c>
      <c r="D533" s="223"/>
      <c r="E533" s="223"/>
      <c r="F533" s="229" t="str">
        <f t="shared" si="8"/>
        <v>-</v>
      </c>
    </row>
    <row r="534" spans="1:6" s="7" customFormat="1" x14ac:dyDescent="0.2">
      <c r="A534" s="220">
        <v>5</v>
      </c>
      <c r="B534" s="221" t="s">
        <v>6</v>
      </c>
      <c r="C534" s="222">
        <v>521</v>
      </c>
      <c r="D534" s="230">
        <f>D535+D573+D586+D599+D631</f>
        <v>27700</v>
      </c>
      <c r="E534" s="230">
        <f>E535+E573+E586+E599+E631</f>
        <v>0</v>
      </c>
      <c r="F534" s="231">
        <f t="shared" si="8"/>
        <v>0</v>
      </c>
    </row>
    <row r="535" spans="1:6" s="7" customFormat="1" x14ac:dyDescent="0.2">
      <c r="A535" s="220">
        <v>51</v>
      </c>
      <c r="B535" s="221" t="s">
        <v>7</v>
      </c>
      <c r="C535" s="222">
        <v>522</v>
      </c>
      <c r="D535" s="230">
        <f>D536+D541+D544+D548+D549+D556+D561+D569</f>
        <v>0</v>
      </c>
      <c r="E535" s="230">
        <f>E536+E541+E544+E548+E549+E556+E561+E569</f>
        <v>0</v>
      </c>
      <c r="F535" s="231" t="str">
        <f t="shared" si="8"/>
        <v>-</v>
      </c>
    </row>
    <row r="536" spans="1:6" s="7" customFormat="1" ht="24" x14ac:dyDescent="0.2">
      <c r="A536" s="220">
        <v>511</v>
      </c>
      <c r="B536" s="221" t="s">
        <v>8</v>
      </c>
      <c r="C536" s="222">
        <v>523</v>
      </c>
      <c r="D536" s="230">
        <f>SUM(D537:D540)</f>
        <v>0</v>
      </c>
      <c r="E536" s="230">
        <f>SUM(E537:E540)</f>
        <v>0</v>
      </c>
      <c r="F536" s="231" t="str">
        <f t="shared" si="8"/>
        <v>-</v>
      </c>
    </row>
    <row r="537" spans="1:6" s="7" customFormat="1" x14ac:dyDescent="0.2">
      <c r="A537" s="220">
        <v>5113</v>
      </c>
      <c r="B537" s="221" t="s">
        <v>2367</v>
      </c>
      <c r="C537" s="222">
        <v>524</v>
      </c>
      <c r="D537" s="223"/>
      <c r="E537" s="223"/>
      <c r="F537" s="229" t="str">
        <f t="shared" si="8"/>
        <v>-</v>
      </c>
    </row>
    <row r="538" spans="1:6" s="7" customFormat="1" x14ac:dyDescent="0.2">
      <c r="A538" s="220">
        <v>5114</v>
      </c>
      <c r="B538" s="221" t="s">
        <v>2848</v>
      </c>
      <c r="C538" s="222">
        <v>525</v>
      </c>
      <c r="D538" s="223"/>
      <c r="E538" s="223"/>
      <c r="F538" s="229" t="str">
        <f t="shared" si="8"/>
        <v>-</v>
      </c>
    </row>
    <row r="539" spans="1:6" s="7" customFormat="1" x14ac:dyDescent="0.2">
      <c r="A539" s="220">
        <v>5115</v>
      </c>
      <c r="B539" s="221" t="s">
        <v>2849</v>
      </c>
      <c r="C539" s="222">
        <v>526</v>
      </c>
      <c r="D539" s="223"/>
      <c r="E539" s="223"/>
      <c r="F539" s="229" t="str">
        <f t="shared" si="8"/>
        <v>-</v>
      </c>
    </row>
    <row r="540" spans="1:6" s="7" customFormat="1" x14ac:dyDescent="0.2">
      <c r="A540" s="220">
        <v>5116</v>
      </c>
      <c r="B540" s="221" t="s">
        <v>2850</v>
      </c>
      <c r="C540" s="222">
        <v>527</v>
      </c>
      <c r="D540" s="223"/>
      <c r="E540" s="223"/>
      <c r="F540" s="229" t="str">
        <f t="shared" si="8"/>
        <v>-</v>
      </c>
    </row>
    <row r="541" spans="1:6" s="7" customFormat="1" ht="24" x14ac:dyDescent="0.2">
      <c r="A541" s="220">
        <v>512</v>
      </c>
      <c r="B541" s="221" t="s">
        <v>9</v>
      </c>
      <c r="C541" s="222">
        <v>528</v>
      </c>
      <c r="D541" s="230">
        <f>SUM(D542:D543)</f>
        <v>0</v>
      </c>
      <c r="E541" s="230">
        <f>SUM(E542:E543)</f>
        <v>0</v>
      </c>
      <c r="F541" s="231" t="str">
        <f t="shared" si="8"/>
        <v>-</v>
      </c>
    </row>
    <row r="542" spans="1:6" s="7" customFormat="1" x14ac:dyDescent="0.2">
      <c r="A542" s="220">
        <v>5121</v>
      </c>
      <c r="B542" s="221" t="s">
        <v>2368</v>
      </c>
      <c r="C542" s="222">
        <v>529</v>
      </c>
      <c r="D542" s="223"/>
      <c r="E542" s="223"/>
      <c r="F542" s="229" t="str">
        <f t="shared" si="8"/>
        <v>-</v>
      </c>
    </row>
    <row r="543" spans="1:6" s="7" customFormat="1" x14ac:dyDescent="0.2">
      <c r="A543" s="220">
        <v>5122</v>
      </c>
      <c r="B543" s="221" t="s">
        <v>2369</v>
      </c>
      <c r="C543" s="222">
        <v>530</v>
      </c>
      <c r="D543" s="223"/>
      <c r="E543" s="223"/>
      <c r="F543" s="229" t="str">
        <f t="shared" si="8"/>
        <v>-</v>
      </c>
    </row>
    <row r="544" spans="1:6" s="7" customFormat="1" ht="24" x14ac:dyDescent="0.2">
      <c r="A544" s="220">
        <v>513</v>
      </c>
      <c r="B544" s="221" t="s">
        <v>1404</v>
      </c>
      <c r="C544" s="222">
        <v>531</v>
      </c>
      <c r="D544" s="230">
        <f>SUM(D545:D547)</f>
        <v>0</v>
      </c>
      <c r="E544" s="230">
        <f>SUM(E545:E547)</f>
        <v>0</v>
      </c>
      <c r="F544" s="231" t="str">
        <f t="shared" si="8"/>
        <v>-</v>
      </c>
    </row>
    <row r="545" spans="1:6" s="7" customFormat="1" x14ac:dyDescent="0.2">
      <c r="A545" s="220">
        <v>5132</v>
      </c>
      <c r="B545" s="221" t="s">
        <v>3252</v>
      </c>
      <c r="C545" s="222">
        <v>532</v>
      </c>
      <c r="D545" s="223"/>
      <c r="E545" s="223"/>
      <c r="F545" s="229" t="str">
        <f t="shared" si="8"/>
        <v>-</v>
      </c>
    </row>
    <row r="546" spans="1:6" s="7" customFormat="1" x14ac:dyDescent="0.2">
      <c r="A546" s="233">
        <v>5133</v>
      </c>
      <c r="B546" s="221" t="s">
        <v>3253</v>
      </c>
      <c r="C546" s="222">
        <v>533</v>
      </c>
      <c r="D546" s="223"/>
      <c r="E546" s="223"/>
      <c r="F546" s="229" t="str">
        <f t="shared" si="8"/>
        <v>-</v>
      </c>
    </row>
    <row r="547" spans="1:6" s="7" customFormat="1" x14ac:dyDescent="0.2">
      <c r="A547" s="233">
        <v>5134</v>
      </c>
      <c r="B547" s="221" t="s">
        <v>3254</v>
      </c>
      <c r="C547" s="222">
        <v>534</v>
      </c>
      <c r="D547" s="223"/>
      <c r="E547" s="223"/>
      <c r="F547" s="229" t="str">
        <f t="shared" si="8"/>
        <v>-</v>
      </c>
    </row>
    <row r="548" spans="1:6" s="7" customFormat="1" x14ac:dyDescent="0.2">
      <c r="A548" s="220">
        <v>514</v>
      </c>
      <c r="B548" s="221" t="s">
        <v>693</v>
      </c>
      <c r="C548" s="222">
        <v>535</v>
      </c>
      <c r="D548" s="223"/>
      <c r="E548" s="223"/>
      <c r="F548" s="229" t="str">
        <f t="shared" si="8"/>
        <v>-</v>
      </c>
    </row>
    <row r="549" spans="1:6" s="7" customFormat="1" ht="24" x14ac:dyDescent="0.2">
      <c r="A549" s="220">
        <v>515</v>
      </c>
      <c r="B549" s="221" t="s">
        <v>45</v>
      </c>
      <c r="C549" s="222">
        <v>536</v>
      </c>
      <c r="D549" s="230">
        <f>SUM(D550:D555)</f>
        <v>0</v>
      </c>
      <c r="E549" s="230">
        <f>SUM(E550:E555)</f>
        <v>0</v>
      </c>
      <c r="F549" s="231" t="str">
        <f t="shared" si="8"/>
        <v>-</v>
      </c>
    </row>
    <row r="550" spans="1:6" s="7" customFormat="1" x14ac:dyDescent="0.2">
      <c r="A550" s="220">
        <v>5153</v>
      </c>
      <c r="B550" s="221" t="s">
        <v>3255</v>
      </c>
      <c r="C550" s="222">
        <v>537</v>
      </c>
      <c r="D550" s="223"/>
      <c r="E550" s="223"/>
      <c r="F550" s="229" t="str">
        <f t="shared" si="8"/>
        <v>-</v>
      </c>
    </row>
    <row r="551" spans="1:6" s="7" customFormat="1" x14ac:dyDescent="0.2">
      <c r="A551" s="220">
        <v>5154</v>
      </c>
      <c r="B551" s="221" t="s">
        <v>3256</v>
      </c>
      <c r="C551" s="222">
        <v>538</v>
      </c>
      <c r="D551" s="223"/>
      <c r="E551" s="223"/>
      <c r="F551" s="229" t="str">
        <f t="shared" si="8"/>
        <v>-</v>
      </c>
    </row>
    <row r="552" spans="1:6" s="7" customFormat="1" x14ac:dyDescent="0.2">
      <c r="A552" s="220">
        <v>5155</v>
      </c>
      <c r="B552" s="221" t="s">
        <v>3257</v>
      </c>
      <c r="C552" s="222">
        <v>539</v>
      </c>
      <c r="D552" s="223"/>
      <c r="E552" s="223"/>
      <c r="F552" s="229" t="str">
        <f t="shared" si="8"/>
        <v>-</v>
      </c>
    </row>
    <row r="553" spans="1:6" s="7" customFormat="1" x14ac:dyDescent="0.2">
      <c r="A553" s="220">
        <v>5156</v>
      </c>
      <c r="B553" s="221" t="s">
        <v>1432</v>
      </c>
      <c r="C553" s="222">
        <v>540</v>
      </c>
      <c r="D553" s="223"/>
      <c r="E553" s="223"/>
      <c r="F553" s="229" t="str">
        <f t="shared" si="8"/>
        <v>-</v>
      </c>
    </row>
    <row r="554" spans="1:6" s="7" customFormat="1" x14ac:dyDescent="0.2">
      <c r="A554" s="220">
        <v>5157</v>
      </c>
      <c r="B554" s="221" t="s">
        <v>1442</v>
      </c>
      <c r="C554" s="222">
        <v>541</v>
      </c>
      <c r="D554" s="223"/>
      <c r="E554" s="223"/>
      <c r="F554" s="229" t="str">
        <f t="shared" ref="F554:F617" si="9">IF(D554&lt;&gt;0,IF(E554/D554&gt;=100,"&gt;&gt;100",E554/D554*100),"-")</f>
        <v>-</v>
      </c>
    </row>
    <row r="555" spans="1:6" s="7" customFormat="1" x14ac:dyDescent="0.2">
      <c r="A555" s="220">
        <v>5158</v>
      </c>
      <c r="B555" s="221" t="s">
        <v>1443</v>
      </c>
      <c r="C555" s="222">
        <v>542</v>
      </c>
      <c r="D555" s="223"/>
      <c r="E555" s="223"/>
      <c r="F555" s="229" t="str">
        <f t="shared" si="9"/>
        <v>-</v>
      </c>
    </row>
    <row r="556" spans="1:6" s="7" customFormat="1" ht="24" x14ac:dyDescent="0.2">
      <c r="A556" s="220">
        <v>516</v>
      </c>
      <c r="B556" s="221" t="s">
        <v>46</v>
      </c>
      <c r="C556" s="222">
        <v>543</v>
      </c>
      <c r="D556" s="230">
        <f>SUM(D557:D560)</f>
        <v>0</v>
      </c>
      <c r="E556" s="230">
        <f>SUM(E557:E560)</f>
        <v>0</v>
      </c>
      <c r="F556" s="231" t="str">
        <f t="shared" si="9"/>
        <v>-</v>
      </c>
    </row>
    <row r="557" spans="1:6" s="7" customFormat="1" x14ac:dyDescent="0.2">
      <c r="A557" s="220">
        <v>5163</v>
      </c>
      <c r="B557" s="221" t="s">
        <v>1444</v>
      </c>
      <c r="C557" s="222">
        <v>544</v>
      </c>
      <c r="D557" s="223"/>
      <c r="E557" s="223"/>
      <c r="F557" s="229" t="str">
        <f t="shared" si="9"/>
        <v>-</v>
      </c>
    </row>
    <row r="558" spans="1:6" s="7" customFormat="1" x14ac:dyDescent="0.2">
      <c r="A558" s="220">
        <v>5164</v>
      </c>
      <c r="B558" s="221" t="s">
        <v>1445</v>
      </c>
      <c r="C558" s="222">
        <v>545</v>
      </c>
      <c r="D558" s="223"/>
      <c r="E558" s="223"/>
      <c r="F558" s="229" t="str">
        <f t="shared" si="9"/>
        <v>-</v>
      </c>
    </row>
    <row r="559" spans="1:6" s="7" customFormat="1" x14ac:dyDescent="0.2">
      <c r="A559" s="220">
        <v>5165</v>
      </c>
      <c r="B559" s="221" t="s">
        <v>1446</v>
      </c>
      <c r="C559" s="222">
        <v>546</v>
      </c>
      <c r="D559" s="223"/>
      <c r="E559" s="223"/>
      <c r="F559" s="229" t="str">
        <f t="shared" si="9"/>
        <v>-</v>
      </c>
    </row>
    <row r="560" spans="1:6" s="7" customFormat="1" x14ac:dyDescent="0.2">
      <c r="A560" s="220">
        <v>5166</v>
      </c>
      <c r="B560" s="221" t="s">
        <v>1447</v>
      </c>
      <c r="C560" s="222">
        <v>547</v>
      </c>
      <c r="D560" s="223"/>
      <c r="E560" s="223"/>
      <c r="F560" s="229" t="str">
        <f t="shared" si="9"/>
        <v>-</v>
      </c>
    </row>
    <row r="561" spans="1:6" s="7" customFormat="1" x14ac:dyDescent="0.2">
      <c r="A561" s="220">
        <v>517</v>
      </c>
      <c r="B561" s="221" t="s">
        <v>10</v>
      </c>
      <c r="C561" s="222">
        <v>548</v>
      </c>
      <c r="D561" s="230">
        <f>SUM(D562:D568)</f>
        <v>0</v>
      </c>
      <c r="E561" s="230">
        <f>SUM(E562:E568)</f>
        <v>0</v>
      </c>
      <c r="F561" s="231" t="str">
        <f t="shared" si="9"/>
        <v>-</v>
      </c>
    </row>
    <row r="562" spans="1:6" s="7" customFormat="1" x14ac:dyDescent="0.2">
      <c r="A562" s="220">
        <v>5171</v>
      </c>
      <c r="B562" s="221" t="s">
        <v>1448</v>
      </c>
      <c r="C562" s="222">
        <v>549</v>
      </c>
      <c r="D562" s="223"/>
      <c r="E562" s="223"/>
      <c r="F562" s="229" t="str">
        <f t="shared" si="9"/>
        <v>-</v>
      </c>
    </row>
    <row r="563" spans="1:6" s="7" customFormat="1" x14ac:dyDescent="0.2">
      <c r="A563" s="220">
        <v>5172</v>
      </c>
      <c r="B563" s="221" t="s">
        <v>1449</v>
      </c>
      <c r="C563" s="222">
        <v>550</v>
      </c>
      <c r="D563" s="223"/>
      <c r="E563" s="223"/>
      <c r="F563" s="229" t="str">
        <f t="shared" si="9"/>
        <v>-</v>
      </c>
    </row>
    <row r="564" spans="1:6" s="7" customFormat="1" x14ac:dyDescent="0.2">
      <c r="A564" s="220">
        <v>5173</v>
      </c>
      <c r="B564" s="221" t="s">
        <v>1450</v>
      </c>
      <c r="C564" s="222">
        <v>551</v>
      </c>
      <c r="D564" s="223"/>
      <c r="E564" s="223"/>
      <c r="F564" s="229" t="str">
        <f t="shared" si="9"/>
        <v>-</v>
      </c>
    </row>
    <row r="565" spans="1:6" s="7" customFormat="1" x14ac:dyDescent="0.2">
      <c r="A565" s="220">
        <v>5174</v>
      </c>
      <c r="B565" s="221" t="s">
        <v>4296</v>
      </c>
      <c r="C565" s="222">
        <v>552</v>
      </c>
      <c r="D565" s="223"/>
      <c r="E565" s="223"/>
      <c r="F565" s="229" t="str">
        <f t="shared" si="9"/>
        <v>-</v>
      </c>
    </row>
    <row r="566" spans="1:6" s="7" customFormat="1" x14ac:dyDescent="0.2">
      <c r="A566" s="220">
        <v>5175</v>
      </c>
      <c r="B566" s="221" t="s">
        <v>4297</v>
      </c>
      <c r="C566" s="222">
        <v>553</v>
      </c>
      <c r="D566" s="223"/>
      <c r="E566" s="223"/>
      <c r="F566" s="229" t="str">
        <f t="shared" si="9"/>
        <v>-</v>
      </c>
    </row>
    <row r="567" spans="1:6" s="7" customFormat="1" x14ac:dyDescent="0.2">
      <c r="A567" s="220">
        <v>5176</v>
      </c>
      <c r="B567" s="221" t="s">
        <v>3824</v>
      </c>
      <c r="C567" s="222">
        <v>554</v>
      </c>
      <c r="D567" s="223"/>
      <c r="E567" s="223"/>
      <c r="F567" s="229" t="str">
        <f t="shared" si="9"/>
        <v>-</v>
      </c>
    </row>
    <row r="568" spans="1:6" s="7" customFormat="1" x14ac:dyDescent="0.2">
      <c r="A568" s="220">
        <v>5177</v>
      </c>
      <c r="B568" s="362" t="s">
        <v>3825</v>
      </c>
      <c r="C568" s="222">
        <v>555</v>
      </c>
      <c r="D568" s="223"/>
      <c r="E568" s="223"/>
      <c r="F568" s="229" t="str">
        <f t="shared" si="9"/>
        <v>-</v>
      </c>
    </row>
    <row r="569" spans="1:6" s="7" customFormat="1" x14ac:dyDescent="0.2">
      <c r="A569" s="220" t="s">
        <v>1287</v>
      </c>
      <c r="B569" s="221" t="s">
        <v>11</v>
      </c>
      <c r="C569" s="222">
        <v>556</v>
      </c>
      <c r="D569" s="230">
        <f>SUM(D570:D572)</f>
        <v>0</v>
      </c>
      <c r="E569" s="230">
        <f>SUM(E570:E572)</f>
        <v>0</v>
      </c>
      <c r="F569" s="231" t="str">
        <f t="shared" si="9"/>
        <v>-</v>
      </c>
    </row>
    <row r="570" spans="1:6" s="7" customFormat="1" x14ac:dyDescent="0.2">
      <c r="A570" s="220" t="s">
        <v>1288</v>
      </c>
      <c r="B570" s="221" t="s">
        <v>1289</v>
      </c>
      <c r="C570" s="222">
        <v>557</v>
      </c>
      <c r="D570" s="223"/>
      <c r="E570" s="223"/>
      <c r="F570" s="229" t="str">
        <f t="shared" si="9"/>
        <v>-</v>
      </c>
    </row>
    <row r="571" spans="1:6" s="7" customFormat="1" x14ac:dyDescent="0.2">
      <c r="A571" s="220" t="s">
        <v>1290</v>
      </c>
      <c r="B571" s="221" t="s">
        <v>1291</v>
      </c>
      <c r="C571" s="222">
        <v>558</v>
      </c>
      <c r="D571" s="223"/>
      <c r="E571" s="223"/>
      <c r="F571" s="229" t="str">
        <f t="shared" si="9"/>
        <v>-</v>
      </c>
    </row>
    <row r="572" spans="1:6" s="7" customFormat="1" x14ac:dyDescent="0.2">
      <c r="A572" s="220" t="s">
        <v>1292</v>
      </c>
      <c r="B572" s="221" t="s">
        <v>1293</v>
      </c>
      <c r="C572" s="222">
        <v>559</v>
      </c>
      <c r="D572" s="223"/>
      <c r="E572" s="223"/>
      <c r="F572" s="229" t="str">
        <f t="shared" si="9"/>
        <v>-</v>
      </c>
    </row>
    <row r="573" spans="1:6" s="7" customFormat="1" x14ac:dyDescent="0.2">
      <c r="A573" s="220">
        <v>52</v>
      </c>
      <c r="B573" s="221" t="s">
        <v>12</v>
      </c>
      <c r="C573" s="222">
        <v>560</v>
      </c>
      <c r="D573" s="230">
        <f>D574+D577+D580+D583</f>
        <v>0</v>
      </c>
      <c r="E573" s="230">
        <f>E574+E577+E580+E583</f>
        <v>0</v>
      </c>
      <c r="F573" s="231" t="str">
        <f t="shared" si="9"/>
        <v>-</v>
      </c>
    </row>
    <row r="574" spans="1:6" s="7" customFormat="1" x14ac:dyDescent="0.2">
      <c r="A574" s="220">
        <v>521</v>
      </c>
      <c r="B574" s="221" t="s">
        <v>13</v>
      </c>
      <c r="C574" s="222">
        <v>561</v>
      </c>
      <c r="D574" s="230">
        <f>SUM(D575:D576)</f>
        <v>0</v>
      </c>
      <c r="E574" s="230">
        <f>SUM(E575:E576)</f>
        <v>0</v>
      </c>
      <c r="F574" s="231" t="str">
        <f t="shared" si="9"/>
        <v>-</v>
      </c>
    </row>
    <row r="575" spans="1:6" s="7" customFormat="1" x14ac:dyDescent="0.2">
      <c r="A575" s="220">
        <v>5211</v>
      </c>
      <c r="B575" s="221" t="s">
        <v>215</v>
      </c>
      <c r="C575" s="222">
        <v>562</v>
      </c>
      <c r="D575" s="223"/>
      <c r="E575" s="223"/>
      <c r="F575" s="229" t="str">
        <f t="shared" si="9"/>
        <v>-</v>
      </c>
    </row>
    <row r="576" spans="1:6" s="7" customFormat="1" x14ac:dyDescent="0.2">
      <c r="A576" s="220">
        <v>5212</v>
      </c>
      <c r="B576" s="221" t="s">
        <v>3128</v>
      </c>
      <c r="C576" s="222">
        <v>563</v>
      </c>
      <c r="D576" s="223"/>
      <c r="E576" s="223"/>
      <c r="F576" s="229" t="str">
        <f t="shared" si="9"/>
        <v>-</v>
      </c>
    </row>
    <row r="577" spans="1:6" s="7" customFormat="1" x14ac:dyDescent="0.2">
      <c r="A577" s="220">
        <v>522</v>
      </c>
      <c r="B577" s="221" t="s">
        <v>14</v>
      </c>
      <c r="C577" s="222">
        <v>564</v>
      </c>
      <c r="D577" s="230">
        <f>SUM(D578:D579)</f>
        <v>0</v>
      </c>
      <c r="E577" s="230">
        <f>SUM(E578:E579)</f>
        <v>0</v>
      </c>
      <c r="F577" s="231" t="str">
        <f t="shared" si="9"/>
        <v>-</v>
      </c>
    </row>
    <row r="578" spans="1:6" s="7" customFormat="1" x14ac:dyDescent="0.2">
      <c r="A578" s="220">
        <v>5221</v>
      </c>
      <c r="B578" s="221" t="s">
        <v>1789</v>
      </c>
      <c r="C578" s="222">
        <v>565</v>
      </c>
      <c r="D578" s="223"/>
      <c r="E578" s="223"/>
      <c r="F578" s="229" t="str">
        <f t="shared" si="9"/>
        <v>-</v>
      </c>
    </row>
    <row r="579" spans="1:6" s="7" customFormat="1" x14ac:dyDescent="0.2">
      <c r="A579" s="220">
        <v>5222</v>
      </c>
      <c r="B579" s="221" t="s">
        <v>1713</v>
      </c>
      <c r="C579" s="222">
        <v>566</v>
      </c>
      <c r="D579" s="223"/>
      <c r="E579" s="223"/>
      <c r="F579" s="229" t="str">
        <f t="shared" si="9"/>
        <v>-</v>
      </c>
    </row>
    <row r="580" spans="1:6" s="7" customFormat="1" x14ac:dyDescent="0.2">
      <c r="A580" s="220">
        <v>523</v>
      </c>
      <c r="B580" s="221" t="s">
        <v>16</v>
      </c>
      <c r="C580" s="222">
        <v>567</v>
      </c>
      <c r="D580" s="230">
        <f>SUM(D581:D582)</f>
        <v>0</v>
      </c>
      <c r="E580" s="230">
        <f>SUM(E581:E582)</f>
        <v>0</v>
      </c>
      <c r="F580" s="229" t="str">
        <f t="shared" si="9"/>
        <v>-</v>
      </c>
    </row>
    <row r="581" spans="1:6" s="7" customFormat="1" x14ac:dyDescent="0.2">
      <c r="A581" s="220">
        <v>5231</v>
      </c>
      <c r="B581" s="221" t="s">
        <v>3821</v>
      </c>
      <c r="C581" s="222">
        <v>568</v>
      </c>
      <c r="D581" s="223"/>
      <c r="E581" s="223"/>
      <c r="F581" s="229" t="str">
        <f t="shared" si="9"/>
        <v>-</v>
      </c>
    </row>
    <row r="582" spans="1:6" s="7" customFormat="1" x14ac:dyDescent="0.2">
      <c r="A582" s="220">
        <v>5232</v>
      </c>
      <c r="B582" s="221" t="s">
        <v>3822</v>
      </c>
      <c r="C582" s="222">
        <v>569</v>
      </c>
      <c r="D582" s="223"/>
      <c r="E582" s="223"/>
      <c r="F582" s="229" t="str">
        <f t="shared" si="9"/>
        <v>-</v>
      </c>
    </row>
    <row r="583" spans="1:6" s="7" customFormat="1" x14ac:dyDescent="0.2">
      <c r="A583" s="220">
        <v>524</v>
      </c>
      <c r="B583" s="221" t="s">
        <v>17</v>
      </c>
      <c r="C583" s="222">
        <v>570</v>
      </c>
      <c r="D583" s="230">
        <f>SUM(D584:D585)</f>
        <v>0</v>
      </c>
      <c r="E583" s="230">
        <f>SUM(E584:E585)</f>
        <v>0</v>
      </c>
      <c r="F583" s="229" t="str">
        <f t="shared" si="9"/>
        <v>-</v>
      </c>
    </row>
    <row r="584" spans="1:6" s="7" customFormat="1" x14ac:dyDescent="0.2">
      <c r="A584" s="233">
        <v>5241</v>
      </c>
      <c r="B584" s="221" t="s">
        <v>3114</v>
      </c>
      <c r="C584" s="222">
        <v>571</v>
      </c>
      <c r="D584" s="223"/>
      <c r="E584" s="223"/>
      <c r="F584" s="229" t="str">
        <f t="shared" si="9"/>
        <v>-</v>
      </c>
    </row>
    <row r="585" spans="1:6" s="7" customFormat="1" x14ac:dyDescent="0.2">
      <c r="A585" s="233">
        <v>5242</v>
      </c>
      <c r="B585" s="221" t="s">
        <v>4291</v>
      </c>
      <c r="C585" s="222">
        <v>572</v>
      </c>
      <c r="D585" s="223"/>
      <c r="E585" s="223"/>
      <c r="F585" s="229" t="str">
        <f t="shared" si="9"/>
        <v>-</v>
      </c>
    </row>
    <row r="586" spans="1:6" s="7" customFormat="1" x14ac:dyDescent="0.2">
      <c r="A586" s="220">
        <v>53</v>
      </c>
      <c r="B586" s="221" t="s">
        <v>18</v>
      </c>
      <c r="C586" s="222">
        <v>573</v>
      </c>
      <c r="D586" s="230">
        <f>D587+D591+D593+D596</f>
        <v>27700</v>
      </c>
      <c r="E586" s="230">
        <f>E587+E591+E593+E596</f>
        <v>0</v>
      </c>
      <c r="F586" s="229">
        <f t="shared" si="9"/>
        <v>0</v>
      </c>
    </row>
    <row r="587" spans="1:6" s="7" customFormat="1" ht="24" x14ac:dyDescent="0.2">
      <c r="A587" s="220">
        <v>531</v>
      </c>
      <c r="B587" s="221" t="s">
        <v>47</v>
      </c>
      <c r="C587" s="222">
        <v>574</v>
      </c>
      <c r="D587" s="230">
        <f>SUM(D588:D590)</f>
        <v>27700</v>
      </c>
      <c r="E587" s="230">
        <f>SUM(E588:E590)</f>
        <v>0</v>
      </c>
      <c r="F587" s="229">
        <f t="shared" si="9"/>
        <v>0</v>
      </c>
    </row>
    <row r="588" spans="1:6" s="7" customFormat="1" x14ac:dyDescent="0.2">
      <c r="A588" s="220">
        <v>5312</v>
      </c>
      <c r="B588" s="221" t="s">
        <v>1011</v>
      </c>
      <c r="C588" s="222">
        <v>575</v>
      </c>
      <c r="D588" s="223"/>
      <c r="E588" s="223"/>
      <c r="F588" s="229" t="str">
        <f t="shared" si="9"/>
        <v>-</v>
      </c>
    </row>
    <row r="589" spans="1:6" s="7" customFormat="1" x14ac:dyDescent="0.2">
      <c r="A589" s="220">
        <v>5313</v>
      </c>
      <c r="B589" s="221" t="s">
        <v>3168</v>
      </c>
      <c r="C589" s="222">
        <v>576</v>
      </c>
      <c r="D589" s="223"/>
      <c r="E589" s="223"/>
      <c r="F589" s="229" t="str">
        <f t="shared" si="9"/>
        <v>-</v>
      </c>
    </row>
    <row r="590" spans="1:6" s="7" customFormat="1" x14ac:dyDescent="0.2">
      <c r="A590" s="220">
        <v>5314</v>
      </c>
      <c r="B590" s="221" t="s">
        <v>2565</v>
      </c>
      <c r="C590" s="222">
        <v>577</v>
      </c>
      <c r="D590" s="223">
        <v>27700</v>
      </c>
      <c r="E590" s="223"/>
      <c r="F590" s="229">
        <f t="shared" si="9"/>
        <v>0</v>
      </c>
    </row>
    <row r="591" spans="1:6" s="7" customFormat="1" x14ac:dyDescent="0.2">
      <c r="A591" s="220">
        <v>532</v>
      </c>
      <c r="B591" s="221" t="s">
        <v>1737</v>
      </c>
      <c r="C591" s="222">
        <v>578</v>
      </c>
      <c r="D591" s="230">
        <f>D592</f>
        <v>0</v>
      </c>
      <c r="E591" s="230">
        <f>E592</f>
        <v>0</v>
      </c>
      <c r="F591" s="229" t="str">
        <f t="shared" si="9"/>
        <v>-</v>
      </c>
    </row>
    <row r="592" spans="1:6" s="7" customFormat="1" x14ac:dyDescent="0.2">
      <c r="A592" s="220">
        <v>5321</v>
      </c>
      <c r="B592" s="221" t="s">
        <v>320</v>
      </c>
      <c r="C592" s="222">
        <v>579</v>
      </c>
      <c r="D592" s="223"/>
      <c r="E592" s="223"/>
      <c r="F592" s="229" t="str">
        <f t="shared" si="9"/>
        <v>-</v>
      </c>
    </row>
    <row r="593" spans="1:6" s="7" customFormat="1" ht="24" x14ac:dyDescent="0.2">
      <c r="A593" s="220">
        <v>533</v>
      </c>
      <c r="B593" s="221" t="s">
        <v>48</v>
      </c>
      <c r="C593" s="222">
        <v>580</v>
      </c>
      <c r="D593" s="230">
        <f>SUM(D594:D595)</f>
        <v>0</v>
      </c>
      <c r="E593" s="230">
        <f>SUM(E594:E595)</f>
        <v>0</v>
      </c>
      <c r="F593" s="229" t="str">
        <f t="shared" si="9"/>
        <v>-</v>
      </c>
    </row>
    <row r="594" spans="1:6" s="7" customFormat="1" ht="24" x14ac:dyDescent="0.2">
      <c r="A594" s="220">
        <v>5331</v>
      </c>
      <c r="B594" s="221" t="s">
        <v>2576</v>
      </c>
      <c r="C594" s="222">
        <v>581</v>
      </c>
      <c r="D594" s="223"/>
      <c r="E594" s="223"/>
      <c r="F594" s="229" t="str">
        <f t="shared" si="9"/>
        <v>-</v>
      </c>
    </row>
    <row r="595" spans="1:6" s="7" customFormat="1" x14ac:dyDescent="0.2">
      <c r="A595" s="220">
        <v>5332</v>
      </c>
      <c r="B595" s="221" t="s">
        <v>3573</v>
      </c>
      <c r="C595" s="222">
        <v>582</v>
      </c>
      <c r="D595" s="223"/>
      <c r="E595" s="223"/>
      <c r="F595" s="229" t="str">
        <f t="shared" si="9"/>
        <v>-</v>
      </c>
    </row>
    <row r="596" spans="1:6" s="7" customFormat="1" x14ac:dyDescent="0.2">
      <c r="A596" s="233">
        <v>534</v>
      </c>
      <c r="B596" s="221" t="s">
        <v>1738</v>
      </c>
      <c r="C596" s="222">
        <v>583</v>
      </c>
      <c r="D596" s="230">
        <f>SUM(D597:D598)</f>
        <v>0</v>
      </c>
      <c r="E596" s="230">
        <f>SUM(E597:E598)</f>
        <v>0</v>
      </c>
      <c r="F596" s="229" t="str">
        <f t="shared" si="9"/>
        <v>-</v>
      </c>
    </row>
    <row r="597" spans="1:6" s="7" customFormat="1" x14ac:dyDescent="0.2">
      <c r="A597" s="220">
        <v>5341</v>
      </c>
      <c r="B597" s="221" t="s">
        <v>3566</v>
      </c>
      <c r="C597" s="222">
        <v>584</v>
      </c>
      <c r="D597" s="223"/>
      <c r="E597" s="223"/>
      <c r="F597" s="229" t="str">
        <f t="shared" si="9"/>
        <v>-</v>
      </c>
    </row>
    <row r="598" spans="1:6" s="7" customFormat="1" x14ac:dyDescent="0.2">
      <c r="A598" s="220">
        <v>5342</v>
      </c>
      <c r="B598" s="221" t="s">
        <v>3871</v>
      </c>
      <c r="C598" s="222">
        <v>585</v>
      </c>
      <c r="D598" s="223"/>
      <c r="E598" s="223"/>
      <c r="F598" s="229" t="str">
        <f t="shared" si="9"/>
        <v>-</v>
      </c>
    </row>
    <row r="599" spans="1:6" s="7" customFormat="1" x14ac:dyDescent="0.2">
      <c r="A599" s="220">
        <v>54</v>
      </c>
      <c r="B599" s="362" t="s">
        <v>1739</v>
      </c>
      <c r="C599" s="222">
        <v>586</v>
      </c>
      <c r="D599" s="230">
        <f>D600+D605+D609+D611+D618+D623</f>
        <v>0</v>
      </c>
      <c r="E599" s="230">
        <f>E600+E605+E609+E611+E618+E623</f>
        <v>0</v>
      </c>
      <c r="F599" s="229" t="str">
        <f t="shared" si="9"/>
        <v>-</v>
      </c>
    </row>
    <row r="600" spans="1:6" s="7" customFormat="1" ht="24" x14ac:dyDescent="0.2">
      <c r="A600" s="220">
        <v>541</v>
      </c>
      <c r="B600" s="221" t="s">
        <v>1740</v>
      </c>
      <c r="C600" s="222">
        <v>587</v>
      </c>
      <c r="D600" s="230">
        <f>SUM(D601:D604)</f>
        <v>0</v>
      </c>
      <c r="E600" s="230">
        <f>SUM(E601:E604)</f>
        <v>0</v>
      </c>
      <c r="F600" s="229" t="str">
        <f t="shared" si="9"/>
        <v>-</v>
      </c>
    </row>
    <row r="601" spans="1:6" s="7" customFormat="1" x14ac:dyDescent="0.2">
      <c r="A601" s="220">
        <v>5413</v>
      </c>
      <c r="B601" s="221" t="s">
        <v>3115</v>
      </c>
      <c r="C601" s="222">
        <v>588</v>
      </c>
      <c r="D601" s="223"/>
      <c r="E601" s="223"/>
      <c r="F601" s="229" t="str">
        <f t="shared" si="9"/>
        <v>-</v>
      </c>
    </row>
    <row r="602" spans="1:6" s="7" customFormat="1" x14ac:dyDescent="0.2">
      <c r="A602" s="220">
        <v>5414</v>
      </c>
      <c r="B602" s="221" t="s">
        <v>3245</v>
      </c>
      <c r="C602" s="222">
        <v>589</v>
      </c>
      <c r="D602" s="223"/>
      <c r="E602" s="223"/>
      <c r="F602" s="229" t="str">
        <f t="shared" si="9"/>
        <v>-</v>
      </c>
    </row>
    <row r="603" spans="1:6" s="7" customFormat="1" x14ac:dyDescent="0.2">
      <c r="A603" s="220">
        <v>5415</v>
      </c>
      <c r="B603" s="221" t="s">
        <v>549</v>
      </c>
      <c r="C603" s="222">
        <v>590</v>
      </c>
      <c r="D603" s="223"/>
      <c r="E603" s="223"/>
      <c r="F603" s="229" t="str">
        <f t="shared" si="9"/>
        <v>-</v>
      </c>
    </row>
    <row r="604" spans="1:6" s="7" customFormat="1" x14ac:dyDescent="0.2">
      <c r="A604" s="220">
        <v>5416</v>
      </c>
      <c r="B604" s="221" t="s">
        <v>550</v>
      </c>
      <c r="C604" s="222">
        <v>591</v>
      </c>
      <c r="D604" s="223"/>
      <c r="E604" s="223"/>
      <c r="F604" s="229" t="str">
        <f t="shared" si="9"/>
        <v>-</v>
      </c>
    </row>
    <row r="605" spans="1:6" s="7" customFormat="1" ht="24" x14ac:dyDescent="0.2">
      <c r="A605" s="220">
        <v>542</v>
      </c>
      <c r="B605" s="221" t="s">
        <v>1741</v>
      </c>
      <c r="C605" s="222">
        <v>592</v>
      </c>
      <c r="D605" s="230">
        <f>SUM(D606:D608)</f>
        <v>0</v>
      </c>
      <c r="E605" s="230">
        <f>SUM(E606:E608)</f>
        <v>0</v>
      </c>
      <c r="F605" s="229" t="str">
        <f t="shared" si="9"/>
        <v>-</v>
      </c>
    </row>
    <row r="606" spans="1:6" s="7" customFormat="1" x14ac:dyDescent="0.2">
      <c r="A606" s="220">
        <v>5422</v>
      </c>
      <c r="B606" s="221" t="s">
        <v>551</v>
      </c>
      <c r="C606" s="222">
        <v>593</v>
      </c>
      <c r="D606" s="223"/>
      <c r="E606" s="223"/>
      <c r="F606" s="229" t="str">
        <f t="shared" si="9"/>
        <v>-</v>
      </c>
    </row>
    <row r="607" spans="1:6" s="7" customFormat="1" x14ac:dyDescent="0.2">
      <c r="A607" s="220">
        <v>5423</v>
      </c>
      <c r="B607" s="221" t="s">
        <v>552</v>
      </c>
      <c r="C607" s="222">
        <v>594</v>
      </c>
      <c r="D607" s="223"/>
      <c r="E607" s="223"/>
      <c r="F607" s="229" t="str">
        <f t="shared" si="9"/>
        <v>-</v>
      </c>
    </row>
    <row r="608" spans="1:6" s="7" customFormat="1" x14ac:dyDescent="0.2">
      <c r="A608" s="220">
        <v>5424</v>
      </c>
      <c r="B608" s="221" t="s">
        <v>3001</v>
      </c>
      <c r="C608" s="222">
        <v>595</v>
      </c>
      <c r="D608" s="223"/>
      <c r="E608" s="223"/>
      <c r="F608" s="229" t="str">
        <f t="shared" si="9"/>
        <v>-</v>
      </c>
    </row>
    <row r="609" spans="1:6" s="7" customFormat="1" x14ac:dyDescent="0.2">
      <c r="A609" s="220">
        <v>543</v>
      </c>
      <c r="B609" s="221" t="s">
        <v>1742</v>
      </c>
      <c r="C609" s="222">
        <v>596</v>
      </c>
      <c r="D609" s="230">
        <f>D610</f>
        <v>0</v>
      </c>
      <c r="E609" s="230">
        <f>E610</f>
        <v>0</v>
      </c>
      <c r="F609" s="229" t="str">
        <f t="shared" si="9"/>
        <v>-</v>
      </c>
    </row>
    <row r="610" spans="1:6" s="7" customFormat="1" x14ac:dyDescent="0.2">
      <c r="A610" s="220">
        <v>5431</v>
      </c>
      <c r="B610" s="221" t="s">
        <v>1544</v>
      </c>
      <c r="C610" s="222">
        <v>597</v>
      </c>
      <c r="D610" s="223"/>
      <c r="E610" s="223"/>
      <c r="F610" s="229" t="str">
        <f t="shared" si="9"/>
        <v>-</v>
      </c>
    </row>
    <row r="611" spans="1:6" s="7" customFormat="1" ht="24" x14ac:dyDescent="0.2">
      <c r="A611" s="220">
        <v>544</v>
      </c>
      <c r="B611" s="221" t="s">
        <v>1743</v>
      </c>
      <c r="C611" s="222">
        <v>598</v>
      </c>
      <c r="D611" s="230">
        <f>SUM(D612:D617)</f>
        <v>0</v>
      </c>
      <c r="E611" s="230">
        <f>SUM(E612:E617)</f>
        <v>0</v>
      </c>
      <c r="F611" s="229" t="str">
        <f t="shared" si="9"/>
        <v>-</v>
      </c>
    </row>
    <row r="612" spans="1:6" s="7" customFormat="1" x14ac:dyDescent="0.2">
      <c r="A612" s="220">
        <v>5443</v>
      </c>
      <c r="B612" s="221" t="s">
        <v>3002</v>
      </c>
      <c r="C612" s="222">
        <v>599</v>
      </c>
      <c r="D612" s="223"/>
      <c r="E612" s="223"/>
      <c r="F612" s="229" t="str">
        <f t="shared" si="9"/>
        <v>-</v>
      </c>
    </row>
    <row r="613" spans="1:6" s="7" customFormat="1" ht="24" x14ac:dyDescent="0.2">
      <c r="A613" s="220">
        <v>5444</v>
      </c>
      <c r="B613" s="221" t="s">
        <v>3003</v>
      </c>
      <c r="C613" s="222">
        <v>600</v>
      </c>
      <c r="D613" s="223"/>
      <c r="E613" s="223"/>
      <c r="F613" s="229" t="str">
        <f t="shared" si="9"/>
        <v>-</v>
      </c>
    </row>
    <row r="614" spans="1:6" s="7" customFormat="1" ht="24" x14ac:dyDescent="0.2">
      <c r="A614" s="233">
        <v>5445</v>
      </c>
      <c r="B614" s="221" t="s">
        <v>3194</v>
      </c>
      <c r="C614" s="222">
        <v>601</v>
      </c>
      <c r="D614" s="223"/>
      <c r="E614" s="223"/>
      <c r="F614" s="229" t="str">
        <f t="shared" si="9"/>
        <v>-</v>
      </c>
    </row>
    <row r="615" spans="1:6" s="7" customFormat="1" x14ac:dyDescent="0.2">
      <c r="A615" s="220">
        <v>5446</v>
      </c>
      <c r="B615" s="221" t="s">
        <v>3004</v>
      </c>
      <c r="C615" s="222">
        <v>602</v>
      </c>
      <c r="D615" s="223"/>
      <c r="E615" s="223"/>
      <c r="F615" s="229" t="str">
        <f t="shared" si="9"/>
        <v>-</v>
      </c>
    </row>
    <row r="616" spans="1:6" s="7" customFormat="1" x14ac:dyDescent="0.2">
      <c r="A616" s="220">
        <v>5447</v>
      </c>
      <c r="B616" s="221" t="s">
        <v>3005</v>
      </c>
      <c r="C616" s="222">
        <v>603</v>
      </c>
      <c r="D616" s="223"/>
      <c r="E616" s="223"/>
      <c r="F616" s="229" t="str">
        <f t="shared" si="9"/>
        <v>-</v>
      </c>
    </row>
    <row r="617" spans="1:6" s="7" customFormat="1" x14ac:dyDescent="0.2">
      <c r="A617" s="220">
        <v>5448</v>
      </c>
      <c r="B617" s="221" t="s">
        <v>2361</v>
      </c>
      <c r="C617" s="222">
        <v>604</v>
      </c>
      <c r="D617" s="223"/>
      <c r="E617" s="223"/>
      <c r="F617" s="229" t="str">
        <f t="shared" si="9"/>
        <v>-</v>
      </c>
    </row>
    <row r="618" spans="1:6" s="7" customFormat="1" ht="24" x14ac:dyDescent="0.2">
      <c r="A618" s="220">
        <v>545</v>
      </c>
      <c r="B618" s="221" t="s">
        <v>49</v>
      </c>
      <c r="C618" s="222">
        <v>605</v>
      </c>
      <c r="D618" s="230">
        <f>SUM(D619:D622)</f>
        <v>0</v>
      </c>
      <c r="E618" s="230">
        <f>SUM(E619:E622)</f>
        <v>0</v>
      </c>
      <c r="F618" s="229" t="str">
        <f t="shared" ref="F618:F653" si="10">IF(D618&lt;&gt;0,IF(E618/D618&gt;=100,"&gt;&gt;100",E618/D618*100),"-")</f>
        <v>-</v>
      </c>
    </row>
    <row r="619" spans="1:6" s="7" customFormat="1" x14ac:dyDescent="0.2">
      <c r="A619" s="220">
        <v>5453</v>
      </c>
      <c r="B619" s="368" t="s">
        <v>3656</v>
      </c>
      <c r="C619" s="222">
        <v>606</v>
      </c>
      <c r="D619" s="223"/>
      <c r="E619" s="223"/>
      <c r="F619" s="229" t="str">
        <f t="shared" si="10"/>
        <v>-</v>
      </c>
    </row>
    <row r="620" spans="1:6" s="7" customFormat="1" x14ac:dyDescent="0.2">
      <c r="A620" s="220">
        <v>5454</v>
      </c>
      <c r="B620" s="221" t="s">
        <v>3657</v>
      </c>
      <c r="C620" s="222">
        <v>607</v>
      </c>
      <c r="D620" s="223"/>
      <c r="E620" s="223"/>
      <c r="F620" s="229" t="str">
        <f t="shared" si="10"/>
        <v>-</v>
      </c>
    </row>
    <row r="621" spans="1:6" s="7" customFormat="1" x14ac:dyDescent="0.2">
      <c r="A621" s="220">
        <v>5455</v>
      </c>
      <c r="B621" s="221" t="s">
        <v>3658</v>
      </c>
      <c r="C621" s="222">
        <v>608</v>
      </c>
      <c r="D621" s="223"/>
      <c r="E621" s="223"/>
      <c r="F621" s="229" t="str">
        <f t="shared" si="10"/>
        <v>-</v>
      </c>
    </row>
    <row r="622" spans="1:6" s="7" customFormat="1" x14ac:dyDescent="0.2">
      <c r="A622" s="220">
        <v>5456</v>
      </c>
      <c r="B622" s="221" t="s">
        <v>3659</v>
      </c>
      <c r="C622" s="222">
        <v>609</v>
      </c>
      <c r="D622" s="223"/>
      <c r="E622" s="223"/>
      <c r="F622" s="229" t="str">
        <f t="shared" si="10"/>
        <v>-</v>
      </c>
    </row>
    <row r="623" spans="1:6" s="7" customFormat="1" x14ac:dyDescent="0.2">
      <c r="A623" s="220">
        <v>547</v>
      </c>
      <c r="B623" s="221" t="s">
        <v>289</v>
      </c>
      <c r="C623" s="222">
        <v>610</v>
      </c>
      <c r="D623" s="230">
        <f>SUM(D624:D630)</f>
        <v>0</v>
      </c>
      <c r="E623" s="230">
        <f>SUM(E624:E630)</f>
        <v>0</v>
      </c>
      <c r="F623" s="229" t="str">
        <f t="shared" si="10"/>
        <v>-</v>
      </c>
    </row>
    <row r="624" spans="1:6" s="7" customFormat="1" x14ac:dyDescent="0.2">
      <c r="A624" s="220">
        <v>5471</v>
      </c>
      <c r="B624" s="221" t="s">
        <v>3660</v>
      </c>
      <c r="C624" s="222">
        <v>611</v>
      </c>
      <c r="D624" s="223"/>
      <c r="E624" s="223"/>
      <c r="F624" s="229" t="str">
        <f t="shared" si="10"/>
        <v>-</v>
      </c>
    </row>
    <row r="625" spans="1:6" s="7" customFormat="1" x14ac:dyDescent="0.2">
      <c r="A625" s="220">
        <v>5472</v>
      </c>
      <c r="B625" s="221" t="s">
        <v>3661</v>
      </c>
      <c r="C625" s="222">
        <v>612</v>
      </c>
      <c r="D625" s="223"/>
      <c r="E625" s="223"/>
      <c r="F625" s="229" t="str">
        <f t="shared" si="10"/>
        <v>-</v>
      </c>
    </row>
    <row r="626" spans="1:6" s="7" customFormat="1" x14ac:dyDescent="0.2">
      <c r="A626" s="220">
        <v>5473</v>
      </c>
      <c r="B626" s="221" t="s">
        <v>3662</v>
      </c>
      <c r="C626" s="222">
        <v>613</v>
      </c>
      <c r="D626" s="223"/>
      <c r="E626" s="223"/>
      <c r="F626" s="229" t="str">
        <f t="shared" si="10"/>
        <v>-</v>
      </c>
    </row>
    <row r="627" spans="1:6" s="7" customFormat="1" x14ac:dyDescent="0.2">
      <c r="A627" s="220">
        <v>5474</v>
      </c>
      <c r="B627" s="221" t="s">
        <v>3830</v>
      </c>
      <c r="C627" s="222">
        <v>614</v>
      </c>
      <c r="D627" s="223"/>
      <c r="E627" s="223"/>
      <c r="F627" s="229" t="str">
        <f t="shared" si="10"/>
        <v>-</v>
      </c>
    </row>
    <row r="628" spans="1:6" s="7" customFormat="1" x14ac:dyDescent="0.2">
      <c r="A628" s="220">
        <v>5475</v>
      </c>
      <c r="B628" s="221" t="s">
        <v>3831</v>
      </c>
      <c r="C628" s="222">
        <v>615</v>
      </c>
      <c r="D628" s="223"/>
      <c r="E628" s="223"/>
      <c r="F628" s="229" t="str">
        <f t="shared" si="10"/>
        <v>-</v>
      </c>
    </row>
    <row r="629" spans="1:6" s="7" customFormat="1" ht="24" x14ac:dyDescent="0.2">
      <c r="A629" s="220">
        <v>5476</v>
      </c>
      <c r="B629" s="221" t="s">
        <v>3244</v>
      </c>
      <c r="C629" s="222">
        <v>616</v>
      </c>
      <c r="D629" s="223"/>
      <c r="E629" s="223"/>
      <c r="F629" s="229" t="str">
        <f t="shared" si="10"/>
        <v>-</v>
      </c>
    </row>
    <row r="630" spans="1:6" s="7" customFormat="1" ht="24" x14ac:dyDescent="0.2">
      <c r="A630" s="220">
        <v>5477</v>
      </c>
      <c r="B630" s="221" t="s">
        <v>1714</v>
      </c>
      <c r="C630" s="222">
        <v>617</v>
      </c>
      <c r="D630" s="223"/>
      <c r="E630" s="223"/>
      <c r="F630" s="229" t="str">
        <f t="shared" si="10"/>
        <v>-</v>
      </c>
    </row>
    <row r="631" spans="1:6" s="7" customFormat="1" x14ac:dyDescent="0.2">
      <c r="A631" s="220">
        <v>55</v>
      </c>
      <c r="B631" s="221" t="s">
        <v>290</v>
      </c>
      <c r="C631" s="222">
        <v>618</v>
      </c>
      <c r="D631" s="230">
        <f>D632+D635+D638</f>
        <v>0</v>
      </c>
      <c r="E631" s="230">
        <f>E632+E635+E638</f>
        <v>0</v>
      </c>
      <c r="F631" s="229" t="str">
        <f t="shared" si="10"/>
        <v>-</v>
      </c>
    </row>
    <row r="632" spans="1:6" s="7" customFormat="1" x14ac:dyDescent="0.2">
      <c r="A632" s="220">
        <v>551</v>
      </c>
      <c r="B632" s="221" t="s">
        <v>291</v>
      </c>
      <c r="C632" s="222">
        <v>619</v>
      </c>
      <c r="D632" s="230">
        <f>SUM(D633:D634)</f>
        <v>0</v>
      </c>
      <c r="E632" s="230">
        <f>SUM(E633:E634)</f>
        <v>0</v>
      </c>
      <c r="F632" s="229" t="str">
        <f t="shared" si="10"/>
        <v>-</v>
      </c>
    </row>
    <row r="633" spans="1:6" s="7" customFormat="1" x14ac:dyDescent="0.2">
      <c r="A633" s="220">
        <v>5511</v>
      </c>
      <c r="B633" s="221" t="s">
        <v>4034</v>
      </c>
      <c r="C633" s="222">
        <v>620</v>
      </c>
      <c r="D633" s="223"/>
      <c r="E633" s="223"/>
      <c r="F633" s="229" t="str">
        <f t="shared" si="10"/>
        <v>-</v>
      </c>
    </row>
    <row r="634" spans="1:6" s="7" customFormat="1" x14ac:dyDescent="0.2">
      <c r="A634" s="220">
        <v>5512</v>
      </c>
      <c r="B634" s="221" t="s">
        <v>1545</v>
      </c>
      <c r="C634" s="222">
        <v>621</v>
      </c>
      <c r="D634" s="223"/>
      <c r="E634" s="223"/>
      <c r="F634" s="229" t="str">
        <f t="shared" si="10"/>
        <v>-</v>
      </c>
    </row>
    <row r="635" spans="1:6" s="7" customFormat="1" x14ac:dyDescent="0.2">
      <c r="A635" s="220">
        <v>552</v>
      </c>
      <c r="B635" s="221" t="s">
        <v>1234</v>
      </c>
      <c r="C635" s="222">
        <v>622</v>
      </c>
      <c r="D635" s="230">
        <f>SUM(D636:D637)</f>
        <v>0</v>
      </c>
      <c r="E635" s="230">
        <f>SUM(E636:E637)</f>
        <v>0</v>
      </c>
      <c r="F635" s="229" t="str">
        <f t="shared" si="10"/>
        <v>-</v>
      </c>
    </row>
    <row r="636" spans="1:6" s="7" customFormat="1" x14ac:dyDescent="0.2">
      <c r="A636" s="220">
        <v>5521</v>
      </c>
      <c r="B636" s="221" t="s">
        <v>1546</v>
      </c>
      <c r="C636" s="222">
        <v>623</v>
      </c>
      <c r="D636" s="223"/>
      <c r="E636" s="223"/>
      <c r="F636" s="229" t="str">
        <f t="shared" si="10"/>
        <v>-</v>
      </c>
    </row>
    <row r="637" spans="1:6" s="7" customFormat="1" x14ac:dyDescent="0.2">
      <c r="A637" s="220">
        <v>5522</v>
      </c>
      <c r="B637" s="221" t="s">
        <v>1280</v>
      </c>
      <c r="C637" s="222">
        <v>624</v>
      </c>
      <c r="D637" s="223"/>
      <c r="E637" s="223"/>
      <c r="F637" s="229" t="str">
        <f t="shared" si="10"/>
        <v>-</v>
      </c>
    </row>
    <row r="638" spans="1:6" s="7" customFormat="1" x14ac:dyDescent="0.2">
      <c r="A638" s="220">
        <v>553</v>
      </c>
      <c r="B638" s="221" t="s">
        <v>1237</v>
      </c>
      <c r="C638" s="222">
        <v>625</v>
      </c>
      <c r="D638" s="230">
        <f>SUM(D639:D640)</f>
        <v>0</v>
      </c>
      <c r="E638" s="230">
        <f>SUM(E639:E640)</f>
        <v>0</v>
      </c>
      <c r="F638" s="229" t="str">
        <f t="shared" si="10"/>
        <v>-</v>
      </c>
    </row>
    <row r="639" spans="1:6" s="7" customFormat="1" x14ac:dyDescent="0.2">
      <c r="A639" s="220">
        <v>5531</v>
      </c>
      <c r="B639" s="221" t="s">
        <v>1281</v>
      </c>
      <c r="C639" s="222">
        <v>626</v>
      </c>
      <c r="D639" s="223"/>
      <c r="E639" s="223"/>
      <c r="F639" s="229" t="str">
        <f t="shared" si="10"/>
        <v>-</v>
      </c>
    </row>
    <row r="640" spans="1:6" s="7" customFormat="1" x14ac:dyDescent="0.2">
      <c r="A640" s="220">
        <v>5532</v>
      </c>
      <c r="B640" s="221" t="s">
        <v>1282</v>
      </c>
      <c r="C640" s="222">
        <v>627</v>
      </c>
      <c r="D640" s="223"/>
      <c r="E640" s="223"/>
      <c r="F640" s="229" t="str">
        <f t="shared" si="10"/>
        <v>-</v>
      </c>
    </row>
    <row r="641" spans="1:6" s="7" customFormat="1" x14ac:dyDescent="0.2">
      <c r="A641" s="220" t="s">
        <v>3874</v>
      </c>
      <c r="B641" s="221" t="s">
        <v>1235</v>
      </c>
      <c r="C641" s="222">
        <v>628</v>
      </c>
      <c r="D641" s="230">
        <f>IF(D426-D534&gt;=0,D426-D534,0)</f>
        <v>0</v>
      </c>
      <c r="E641" s="230">
        <f>IF(E426-E534&gt;=0,E426-E534,0)</f>
        <v>0</v>
      </c>
      <c r="F641" s="229" t="str">
        <f t="shared" si="10"/>
        <v>-</v>
      </c>
    </row>
    <row r="642" spans="1:6" s="7" customFormat="1" x14ac:dyDescent="0.2">
      <c r="A642" s="220" t="s">
        <v>3874</v>
      </c>
      <c r="B642" s="221" t="s">
        <v>1236</v>
      </c>
      <c r="C642" s="222">
        <v>629</v>
      </c>
      <c r="D642" s="230">
        <f>IF(D534-D426&gt;=0,D534-D426,0)</f>
        <v>27700</v>
      </c>
      <c r="E642" s="230">
        <f>IF(E534-E426&gt;=0,E534-E426,0)</f>
        <v>0</v>
      </c>
      <c r="F642" s="229">
        <f t="shared" si="10"/>
        <v>0</v>
      </c>
    </row>
    <row r="643" spans="1:6" s="7" customFormat="1" x14ac:dyDescent="0.2">
      <c r="A643" s="220">
        <v>92213</v>
      </c>
      <c r="B643" s="221" t="s">
        <v>2758</v>
      </c>
      <c r="C643" s="222">
        <v>630</v>
      </c>
      <c r="D643" s="223"/>
      <c r="E643" s="223"/>
      <c r="F643" s="229" t="str">
        <f t="shared" si="10"/>
        <v>-</v>
      </c>
    </row>
    <row r="644" spans="1:6" s="7" customFormat="1" x14ac:dyDescent="0.2">
      <c r="A644" s="220">
        <v>92223</v>
      </c>
      <c r="B644" s="221" t="s">
        <v>2760</v>
      </c>
      <c r="C644" s="222">
        <v>631</v>
      </c>
      <c r="D644" s="223"/>
      <c r="E644" s="223"/>
      <c r="F644" s="229" t="str">
        <f t="shared" si="10"/>
        <v>-</v>
      </c>
    </row>
    <row r="645" spans="1:6" s="7" customFormat="1" x14ac:dyDescent="0.2">
      <c r="A645" s="220" t="s">
        <v>3874</v>
      </c>
      <c r="B645" s="221" t="s">
        <v>1238</v>
      </c>
      <c r="C645" s="222">
        <v>632</v>
      </c>
      <c r="D645" s="230">
        <f>D418+D426</f>
        <v>6073818</v>
      </c>
      <c r="E645" s="230">
        <f>E418+E426</f>
        <v>5156414</v>
      </c>
      <c r="F645" s="229">
        <f t="shared" si="10"/>
        <v>84.89576078835421</v>
      </c>
    </row>
    <row r="646" spans="1:6" s="7" customFormat="1" x14ac:dyDescent="0.2">
      <c r="A646" s="220" t="s">
        <v>3874</v>
      </c>
      <c r="B646" s="221" t="s">
        <v>1239</v>
      </c>
      <c r="C646" s="222">
        <v>633</v>
      </c>
      <c r="D646" s="230">
        <f>D419+D534</f>
        <v>5181123</v>
      </c>
      <c r="E646" s="230">
        <f>E419+E534</f>
        <v>6985827</v>
      </c>
      <c r="F646" s="229">
        <f t="shared" si="10"/>
        <v>134.83229407987417</v>
      </c>
    </row>
    <row r="647" spans="1:6" s="7" customFormat="1" x14ac:dyDescent="0.2">
      <c r="A647" s="220" t="s">
        <v>3874</v>
      </c>
      <c r="B647" s="221" t="s">
        <v>1240</v>
      </c>
      <c r="C647" s="222">
        <v>634</v>
      </c>
      <c r="D647" s="230">
        <f>IF(D645&gt;=D646,D645-D646,0)</f>
        <v>892695</v>
      </c>
      <c r="E647" s="230">
        <f>IF(E645&gt;=E646,E645-E646,0)</f>
        <v>0</v>
      </c>
      <c r="F647" s="229">
        <f t="shared" si="10"/>
        <v>0</v>
      </c>
    </row>
    <row r="648" spans="1:6" s="7" customFormat="1" x14ac:dyDescent="0.2">
      <c r="A648" s="220" t="s">
        <v>3874</v>
      </c>
      <c r="B648" s="221" t="s">
        <v>1241</v>
      </c>
      <c r="C648" s="222">
        <v>635</v>
      </c>
      <c r="D648" s="230">
        <f>IF(D646&gt;=D645,D646-D645,0)</f>
        <v>0</v>
      </c>
      <c r="E648" s="230">
        <f>IF(E646&gt;=E645,E646-E645,0)</f>
        <v>1829413</v>
      </c>
      <c r="F648" s="229" t="str">
        <f t="shared" si="10"/>
        <v>-</v>
      </c>
    </row>
    <row r="649" spans="1:6" s="7" customFormat="1" x14ac:dyDescent="0.2">
      <c r="A649" s="233" t="s">
        <v>983</v>
      </c>
      <c r="B649" s="221" t="s">
        <v>1242</v>
      </c>
      <c r="C649" s="222">
        <v>636</v>
      </c>
      <c r="D649" s="230">
        <f>IF(D422-D423+D643-D644&gt;=0,D422-D423+D643-D644,0)</f>
        <v>989212</v>
      </c>
      <c r="E649" s="230">
        <f>IF(E422-E423+E643-E644&gt;=0,E422-E423+E643-E644,0)</f>
        <v>2133650</v>
      </c>
      <c r="F649" s="229">
        <f t="shared" si="10"/>
        <v>215.6918840450783</v>
      </c>
    </row>
    <row r="650" spans="1:6" s="7" customFormat="1" x14ac:dyDescent="0.2">
      <c r="A650" s="233" t="s">
        <v>984</v>
      </c>
      <c r="B650" s="221" t="s">
        <v>1243</v>
      </c>
      <c r="C650" s="222">
        <v>637</v>
      </c>
      <c r="D650" s="230">
        <f>IF(D423-D422+D644-D643&gt;=0,D423-D422+D644-D643,0)</f>
        <v>0</v>
      </c>
      <c r="E650" s="230">
        <f>IF(E423-E422+E644-E643&gt;=0,E423-E422+E644-E643,0)</f>
        <v>0</v>
      </c>
      <c r="F650" s="229" t="str">
        <f t="shared" si="10"/>
        <v>-</v>
      </c>
    </row>
    <row r="651" spans="1:6" s="7" customFormat="1" x14ac:dyDescent="0.2">
      <c r="A651" s="220" t="s">
        <v>3874</v>
      </c>
      <c r="B651" s="221" t="s">
        <v>1244</v>
      </c>
      <c r="C651" s="222">
        <v>638</v>
      </c>
      <c r="D651" s="230">
        <f>IF(D647+D649-D648-D650&gt;=0,D647+D649-D648-D650,0)</f>
        <v>1881907</v>
      </c>
      <c r="E651" s="230">
        <f>IF(E647+E649-E648-E650&gt;=0,E647+E649-E648-E650,0)</f>
        <v>304237</v>
      </c>
      <c r="F651" s="229">
        <f t="shared" si="10"/>
        <v>16.166420551068679</v>
      </c>
    </row>
    <row r="652" spans="1:6" s="7" customFormat="1" x14ac:dyDescent="0.2">
      <c r="A652" s="220" t="s">
        <v>3874</v>
      </c>
      <c r="B652" s="221" t="s">
        <v>1245</v>
      </c>
      <c r="C652" s="222">
        <v>639</v>
      </c>
      <c r="D652" s="230">
        <f>IF(D648+D650-D647-D649&gt;=0,D648+D650-D647-D649,0)</f>
        <v>0</v>
      </c>
      <c r="E652" s="230">
        <f>IF(E648+E650-E647-E649&gt;=0,E648+E650-E647-E649,0)</f>
        <v>0</v>
      </c>
      <c r="F652" s="229" t="str">
        <f t="shared" si="10"/>
        <v>-</v>
      </c>
    </row>
    <row r="653" spans="1:6" s="7" customFormat="1" ht="24" x14ac:dyDescent="0.2">
      <c r="A653" s="274" t="s">
        <v>227</v>
      </c>
      <c r="B653" s="275" t="s">
        <v>2678</v>
      </c>
      <c r="C653" s="276">
        <v>640</v>
      </c>
      <c r="D653" s="277"/>
      <c r="E653" s="277"/>
      <c r="F653" s="278" t="str">
        <f t="shared" si="10"/>
        <v>-</v>
      </c>
    </row>
    <row r="654" spans="1:6" s="7" customFormat="1" ht="15" x14ac:dyDescent="0.2">
      <c r="A654" s="453" t="s">
        <v>2679</v>
      </c>
      <c r="B654" s="454"/>
      <c r="C654" s="284"/>
      <c r="D654" s="285"/>
      <c r="E654" s="285"/>
      <c r="F654" s="286"/>
    </row>
    <row r="655" spans="1:6" s="7" customFormat="1" x14ac:dyDescent="0.2">
      <c r="A655" s="279">
        <v>11</v>
      </c>
      <c r="B655" s="280" t="s">
        <v>3866</v>
      </c>
      <c r="C655" s="281">
        <v>641</v>
      </c>
      <c r="D655" s="282">
        <v>1008868</v>
      </c>
      <c r="E655" s="282">
        <v>2266010</v>
      </c>
      <c r="F655" s="283">
        <f t="shared" ref="F655:F716" si="11">IF(D655&lt;&gt;0,IF(E655/D655&gt;=100,"&gt;&gt;100",E655/D655*100),"-")</f>
        <v>224.60916591665114</v>
      </c>
    </row>
    <row r="656" spans="1:6" s="7" customFormat="1" x14ac:dyDescent="0.2">
      <c r="A656" s="220" t="s">
        <v>3867</v>
      </c>
      <c r="B656" s="221" t="s">
        <v>992</v>
      </c>
      <c r="C656" s="222">
        <v>642</v>
      </c>
      <c r="D656" s="223">
        <v>6308655</v>
      </c>
      <c r="E656" s="223">
        <v>5225128</v>
      </c>
      <c r="F656" s="229">
        <f t="shared" si="11"/>
        <v>82.82475424634886</v>
      </c>
    </row>
    <row r="657" spans="1:6" s="7" customFormat="1" x14ac:dyDescent="0.2">
      <c r="A657" s="220" t="s">
        <v>3868</v>
      </c>
      <c r="B657" s="221" t="s">
        <v>103</v>
      </c>
      <c r="C657" s="222">
        <v>643</v>
      </c>
      <c r="D657" s="223">
        <v>5129992</v>
      </c>
      <c r="E657" s="223">
        <v>6152073</v>
      </c>
      <c r="F657" s="229">
        <f t="shared" si="11"/>
        <v>119.92363730781645</v>
      </c>
    </row>
    <row r="658" spans="1:6" s="7" customFormat="1" x14ac:dyDescent="0.2">
      <c r="A658" s="220">
        <v>11</v>
      </c>
      <c r="B658" s="221" t="s">
        <v>1246</v>
      </c>
      <c r="C658" s="222">
        <v>644</v>
      </c>
      <c r="D658" s="230">
        <f>+D655+D656-D657</f>
        <v>2187531</v>
      </c>
      <c r="E658" s="230">
        <f>+E655+E656-E657</f>
        <v>1339065</v>
      </c>
      <c r="F658" s="231">
        <f t="shared" si="11"/>
        <v>61.213532516796334</v>
      </c>
    </row>
    <row r="659" spans="1:6" s="7" customFormat="1" ht="24" x14ac:dyDescent="0.2">
      <c r="A659" s="220" t="s">
        <v>3874</v>
      </c>
      <c r="B659" s="221" t="s">
        <v>3881</v>
      </c>
      <c r="C659" s="222">
        <v>645</v>
      </c>
      <c r="D659" s="223">
        <v>10</v>
      </c>
      <c r="E659" s="223">
        <v>11</v>
      </c>
      <c r="F659" s="229">
        <f t="shared" si="11"/>
        <v>110.00000000000001</v>
      </c>
    </row>
    <row r="660" spans="1:6" s="7" customFormat="1" ht="24" x14ac:dyDescent="0.2">
      <c r="A660" s="220" t="s">
        <v>3874</v>
      </c>
      <c r="B660" s="221" t="s">
        <v>918</v>
      </c>
      <c r="C660" s="222">
        <v>646</v>
      </c>
      <c r="D660" s="223"/>
      <c r="E660" s="223"/>
      <c r="F660" s="229" t="str">
        <f t="shared" si="11"/>
        <v>-</v>
      </c>
    </row>
    <row r="661" spans="1:6" s="7" customFormat="1" x14ac:dyDescent="0.2">
      <c r="A661" s="220" t="s">
        <v>3874</v>
      </c>
      <c r="B661" s="221" t="s">
        <v>4060</v>
      </c>
      <c r="C661" s="222">
        <v>647</v>
      </c>
      <c r="D661" s="223">
        <v>10</v>
      </c>
      <c r="E661" s="223">
        <v>11</v>
      </c>
      <c r="F661" s="229">
        <f t="shared" si="11"/>
        <v>110.00000000000001</v>
      </c>
    </row>
    <row r="662" spans="1:6" s="7" customFormat="1" x14ac:dyDescent="0.2">
      <c r="A662" s="220" t="s">
        <v>3874</v>
      </c>
      <c r="B662" s="221" t="s">
        <v>72</v>
      </c>
      <c r="C662" s="222">
        <v>648</v>
      </c>
      <c r="D662" s="223"/>
      <c r="E662" s="223"/>
      <c r="F662" s="229" t="str">
        <f t="shared" si="11"/>
        <v>-</v>
      </c>
    </row>
    <row r="663" spans="1:6" s="7" customFormat="1" x14ac:dyDescent="0.2">
      <c r="A663" s="220" t="s">
        <v>4061</v>
      </c>
      <c r="B663" s="221" t="s">
        <v>4062</v>
      </c>
      <c r="C663" s="222">
        <v>649</v>
      </c>
      <c r="D663" s="223"/>
      <c r="E663" s="223"/>
      <c r="F663" s="229" t="str">
        <f t="shared" si="11"/>
        <v>-</v>
      </c>
    </row>
    <row r="664" spans="1:6" s="7" customFormat="1" x14ac:dyDescent="0.2">
      <c r="A664" s="220">
        <v>61315</v>
      </c>
      <c r="B664" s="221" t="s">
        <v>73</v>
      </c>
      <c r="C664" s="222">
        <v>650</v>
      </c>
      <c r="D664" s="223">
        <v>884</v>
      </c>
      <c r="E664" s="223">
        <v>3646</v>
      </c>
      <c r="F664" s="229">
        <f t="shared" si="11"/>
        <v>412.44343891402713</v>
      </c>
    </row>
    <row r="665" spans="1:6" s="7" customFormat="1" x14ac:dyDescent="0.2">
      <c r="A665" s="220">
        <v>61451</v>
      </c>
      <c r="B665" s="221" t="s">
        <v>1081</v>
      </c>
      <c r="C665" s="222">
        <v>651</v>
      </c>
      <c r="D665" s="223"/>
      <c r="E665" s="223"/>
      <c r="F665" s="229" t="str">
        <f t="shared" si="11"/>
        <v>-</v>
      </c>
    </row>
    <row r="666" spans="1:6" s="7" customFormat="1" x14ac:dyDescent="0.2">
      <c r="A666" s="220">
        <v>61453</v>
      </c>
      <c r="B666" s="221" t="s">
        <v>1695</v>
      </c>
      <c r="C666" s="222">
        <v>652</v>
      </c>
      <c r="D666" s="223"/>
      <c r="E666" s="223">
        <v>3990</v>
      </c>
      <c r="F666" s="229" t="str">
        <f t="shared" si="11"/>
        <v>-</v>
      </c>
    </row>
    <row r="667" spans="1:6" s="7" customFormat="1" x14ac:dyDescent="0.2">
      <c r="A667" s="220">
        <v>63311</v>
      </c>
      <c r="B667" s="221" t="s">
        <v>1696</v>
      </c>
      <c r="C667" s="222">
        <v>653</v>
      </c>
      <c r="D667" s="223">
        <v>780</v>
      </c>
      <c r="E667" s="223">
        <f>1847580+64304</f>
        <v>1911884</v>
      </c>
      <c r="F667" s="229" t="str">
        <f t="shared" si="11"/>
        <v>&gt;&gt;100</v>
      </c>
    </row>
    <row r="668" spans="1:6" s="7" customFormat="1" x14ac:dyDescent="0.2">
      <c r="A668" s="220">
        <v>63312</v>
      </c>
      <c r="B668" s="221" t="s">
        <v>3239</v>
      </c>
      <c r="C668" s="222">
        <v>654</v>
      </c>
      <c r="D668" s="223">
        <v>130034</v>
      </c>
      <c r="E668" s="223">
        <f>10500</f>
        <v>10500</v>
      </c>
      <c r="F668" s="229">
        <f t="shared" si="11"/>
        <v>8.0748112032237724</v>
      </c>
    </row>
    <row r="669" spans="1:6" s="7" customFormat="1" x14ac:dyDescent="0.2">
      <c r="A669" s="220">
        <v>63313</v>
      </c>
      <c r="B669" s="221" t="s">
        <v>3240</v>
      </c>
      <c r="C669" s="222">
        <v>655</v>
      </c>
      <c r="D669" s="223"/>
      <c r="E669" s="223"/>
      <c r="F669" s="229" t="str">
        <f t="shared" si="11"/>
        <v>-</v>
      </c>
    </row>
    <row r="670" spans="1:6" s="7" customFormat="1" x14ac:dyDescent="0.2">
      <c r="A670" s="220">
        <v>63314</v>
      </c>
      <c r="B670" s="221" t="s">
        <v>3241</v>
      </c>
      <c r="C670" s="222">
        <v>656</v>
      </c>
      <c r="D670" s="223"/>
      <c r="E670" s="223"/>
      <c r="F670" s="229" t="str">
        <f t="shared" si="11"/>
        <v>-</v>
      </c>
    </row>
    <row r="671" spans="1:6" s="7" customFormat="1" x14ac:dyDescent="0.2">
      <c r="A671" s="220">
        <v>63321</v>
      </c>
      <c r="B671" s="221" t="s">
        <v>1697</v>
      </c>
      <c r="C671" s="222">
        <v>657</v>
      </c>
      <c r="D671" s="223">
        <v>61250</v>
      </c>
      <c r="E671" s="223">
        <v>189633</v>
      </c>
      <c r="F671" s="229">
        <f t="shared" si="11"/>
        <v>309.60489795918369</v>
      </c>
    </row>
    <row r="672" spans="1:6" s="7" customFormat="1" x14ac:dyDescent="0.2">
      <c r="A672" s="220">
        <v>63322</v>
      </c>
      <c r="B672" s="221" t="s">
        <v>3242</v>
      </c>
      <c r="C672" s="222">
        <v>658</v>
      </c>
      <c r="D672" s="223">
        <v>212375</v>
      </c>
      <c r="E672" s="223">
        <v>230360</v>
      </c>
      <c r="F672" s="229">
        <f t="shared" si="11"/>
        <v>108.46851088875809</v>
      </c>
    </row>
    <row r="673" spans="1:6" s="7" customFormat="1" x14ac:dyDescent="0.2">
      <c r="A673" s="220">
        <v>63323</v>
      </c>
      <c r="B673" s="221" t="s">
        <v>3243</v>
      </c>
      <c r="C673" s="222">
        <v>659</v>
      </c>
      <c r="D673" s="223"/>
      <c r="E673" s="223"/>
      <c r="F673" s="229" t="str">
        <f t="shared" si="11"/>
        <v>-</v>
      </c>
    </row>
    <row r="674" spans="1:6" s="7" customFormat="1" x14ac:dyDescent="0.2">
      <c r="A674" s="220">
        <v>63324</v>
      </c>
      <c r="B674" s="221" t="s">
        <v>2076</v>
      </c>
      <c r="C674" s="222">
        <v>660</v>
      </c>
      <c r="D674" s="223"/>
      <c r="E674" s="223"/>
      <c r="F674" s="229" t="str">
        <f t="shared" si="11"/>
        <v>-</v>
      </c>
    </row>
    <row r="675" spans="1:6" s="7" customFormat="1" x14ac:dyDescent="0.2">
      <c r="A675" s="220">
        <v>63414</v>
      </c>
      <c r="B675" s="221" t="s">
        <v>2288</v>
      </c>
      <c r="C675" s="222">
        <v>661</v>
      </c>
      <c r="D675" s="223">
        <v>28983</v>
      </c>
      <c r="E675" s="223">
        <v>29890</v>
      </c>
      <c r="F675" s="229">
        <f t="shared" si="11"/>
        <v>103.1294206948901</v>
      </c>
    </row>
    <row r="676" spans="1:6" s="7" customFormat="1" x14ac:dyDescent="0.2">
      <c r="A676" s="220">
        <v>63415</v>
      </c>
      <c r="B676" s="221" t="s">
        <v>2289</v>
      </c>
      <c r="C676" s="222">
        <v>662</v>
      </c>
      <c r="D676" s="223"/>
      <c r="E676" s="223"/>
      <c r="F676" s="229" t="str">
        <f t="shared" si="11"/>
        <v>-</v>
      </c>
    </row>
    <row r="677" spans="1:6" s="7" customFormat="1" x14ac:dyDescent="0.2">
      <c r="A677" s="220">
        <v>63416</v>
      </c>
      <c r="B677" s="368" t="s">
        <v>2290</v>
      </c>
      <c r="C677" s="222">
        <v>663</v>
      </c>
      <c r="D677" s="223"/>
      <c r="E677" s="223"/>
      <c r="F677" s="229" t="str">
        <f t="shared" si="11"/>
        <v>-</v>
      </c>
    </row>
    <row r="678" spans="1:6" s="7" customFormat="1" x14ac:dyDescent="0.2">
      <c r="A678" s="220">
        <v>63424</v>
      </c>
      <c r="B678" s="221" t="s">
        <v>2291</v>
      </c>
      <c r="C678" s="222">
        <v>664</v>
      </c>
      <c r="D678" s="223"/>
      <c r="E678" s="223"/>
      <c r="F678" s="229" t="str">
        <f t="shared" si="11"/>
        <v>-</v>
      </c>
    </row>
    <row r="679" spans="1:6" s="7" customFormat="1" x14ac:dyDescent="0.2">
      <c r="A679" s="220">
        <v>63425</v>
      </c>
      <c r="B679" s="221" t="s">
        <v>203</v>
      </c>
      <c r="C679" s="222">
        <v>665</v>
      </c>
      <c r="D679" s="223"/>
      <c r="E679" s="223"/>
      <c r="F679" s="229" t="str">
        <f t="shared" si="11"/>
        <v>-</v>
      </c>
    </row>
    <row r="680" spans="1:6" s="7" customFormat="1" ht="24" x14ac:dyDescent="0.2">
      <c r="A680" s="220">
        <v>63426</v>
      </c>
      <c r="B680" s="221" t="s">
        <v>837</v>
      </c>
      <c r="C680" s="222">
        <v>666</v>
      </c>
      <c r="D680" s="223"/>
      <c r="E680" s="223"/>
      <c r="F680" s="229" t="str">
        <f t="shared" si="11"/>
        <v>-</v>
      </c>
    </row>
    <row r="681" spans="1:6" s="7" customFormat="1" x14ac:dyDescent="0.2">
      <c r="A681" s="220">
        <v>63612</v>
      </c>
      <c r="B681" s="221" t="s">
        <v>2680</v>
      </c>
      <c r="C681" s="222">
        <v>667</v>
      </c>
      <c r="D681" s="223"/>
      <c r="E681" s="223"/>
      <c r="F681" s="229" t="str">
        <f t="shared" si="11"/>
        <v>-</v>
      </c>
    </row>
    <row r="682" spans="1:6" s="7" customFormat="1" x14ac:dyDescent="0.2">
      <c r="A682" s="220">
        <v>63613</v>
      </c>
      <c r="B682" s="221" t="s">
        <v>2634</v>
      </c>
      <c r="C682" s="222">
        <v>668</v>
      </c>
      <c r="D682" s="223"/>
      <c r="E682" s="223"/>
      <c r="F682" s="229" t="str">
        <f t="shared" si="11"/>
        <v>-</v>
      </c>
    </row>
    <row r="683" spans="1:6" s="7" customFormat="1" x14ac:dyDescent="0.2">
      <c r="A683" s="220">
        <v>63622</v>
      </c>
      <c r="B683" s="221" t="s">
        <v>2635</v>
      </c>
      <c r="C683" s="222">
        <v>669</v>
      </c>
      <c r="D683" s="223"/>
      <c r="E683" s="223"/>
      <c r="F683" s="229" t="str">
        <f t="shared" si="11"/>
        <v>-</v>
      </c>
    </row>
    <row r="684" spans="1:6" s="7" customFormat="1" x14ac:dyDescent="0.2">
      <c r="A684" s="220">
        <v>63623</v>
      </c>
      <c r="B684" s="221" t="s">
        <v>496</v>
      </c>
      <c r="C684" s="222">
        <v>670</v>
      </c>
      <c r="D684" s="223"/>
      <c r="E684" s="223"/>
      <c r="F684" s="229" t="str">
        <f t="shared" ref="F684:F699" si="12">IF(D684&lt;&gt;0,IF(E684/D684&gt;=100,"&gt;&gt;100",E684/D684*100),"-")</f>
        <v>-</v>
      </c>
    </row>
    <row r="685" spans="1:6" s="7" customFormat="1" x14ac:dyDescent="0.2">
      <c r="A685" s="220">
        <v>63711</v>
      </c>
      <c r="B685" s="221" t="s">
        <v>1145</v>
      </c>
      <c r="C685" s="222">
        <v>671</v>
      </c>
      <c r="D685" s="223"/>
      <c r="E685" s="223"/>
      <c r="F685" s="229" t="str">
        <f t="shared" si="12"/>
        <v>-</v>
      </c>
    </row>
    <row r="686" spans="1:6" s="7" customFormat="1" x14ac:dyDescent="0.2">
      <c r="A686" s="220">
        <v>63712</v>
      </c>
      <c r="B686" s="221" t="s">
        <v>1146</v>
      </c>
      <c r="C686" s="222">
        <v>672</v>
      </c>
      <c r="D686" s="223"/>
      <c r="E686" s="223"/>
      <c r="F686" s="229" t="str">
        <f t="shared" si="12"/>
        <v>-</v>
      </c>
    </row>
    <row r="687" spans="1:6" s="7" customFormat="1" x14ac:dyDescent="0.2">
      <c r="A687" s="220">
        <v>63713</v>
      </c>
      <c r="B687" s="221" t="s">
        <v>1147</v>
      </c>
      <c r="C687" s="222">
        <v>673</v>
      </c>
      <c r="D687" s="223"/>
      <c r="E687" s="223"/>
      <c r="F687" s="229" t="str">
        <f t="shared" si="12"/>
        <v>-</v>
      </c>
    </row>
    <row r="688" spans="1:6" s="7" customFormat="1" x14ac:dyDescent="0.2">
      <c r="A688" s="220">
        <v>63714</v>
      </c>
      <c r="B688" s="221" t="s">
        <v>1148</v>
      </c>
      <c r="C688" s="222">
        <v>674</v>
      </c>
      <c r="D688" s="223"/>
      <c r="E688" s="223"/>
      <c r="F688" s="229" t="str">
        <f t="shared" si="12"/>
        <v>-</v>
      </c>
    </row>
    <row r="689" spans="1:6" s="7" customFormat="1" x14ac:dyDescent="0.2">
      <c r="A689" s="220">
        <v>63715</v>
      </c>
      <c r="B689" s="221" t="s">
        <v>1149</v>
      </c>
      <c r="C689" s="222">
        <v>675</v>
      </c>
      <c r="D689" s="223"/>
      <c r="E689" s="223"/>
      <c r="F689" s="229" t="str">
        <f t="shared" si="12"/>
        <v>-</v>
      </c>
    </row>
    <row r="690" spans="1:6" s="7" customFormat="1" ht="24" x14ac:dyDescent="0.2">
      <c r="A690" s="220">
        <v>63716</v>
      </c>
      <c r="B690" s="221" t="s">
        <v>1150</v>
      </c>
      <c r="C690" s="222">
        <v>676</v>
      </c>
      <c r="D690" s="223"/>
      <c r="E690" s="223"/>
      <c r="F690" s="229" t="str">
        <f t="shared" si="12"/>
        <v>-</v>
      </c>
    </row>
    <row r="691" spans="1:6" s="7" customFormat="1" ht="24" x14ac:dyDescent="0.2">
      <c r="A691" s="220">
        <v>63717</v>
      </c>
      <c r="B691" s="221" t="s">
        <v>1151</v>
      </c>
      <c r="C691" s="222">
        <v>677</v>
      </c>
      <c r="D691" s="223"/>
      <c r="E691" s="223"/>
      <c r="F691" s="229" t="str">
        <f t="shared" si="12"/>
        <v>-</v>
      </c>
    </row>
    <row r="692" spans="1:6" s="7" customFormat="1" ht="24" x14ac:dyDescent="0.2">
      <c r="A692" s="220">
        <v>63721</v>
      </c>
      <c r="B692" s="221" t="s">
        <v>1152</v>
      </c>
      <c r="C692" s="222">
        <v>678</v>
      </c>
      <c r="D692" s="223"/>
      <c r="E692" s="223"/>
      <c r="F692" s="229" t="str">
        <f t="shared" si="12"/>
        <v>-</v>
      </c>
    </row>
    <row r="693" spans="1:6" s="7" customFormat="1" ht="24" x14ac:dyDescent="0.2">
      <c r="A693" s="220">
        <v>63722</v>
      </c>
      <c r="B693" s="221" t="s">
        <v>1153</v>
      </c>
      <c r="C693" s="222">
        <v>679</v>
      </c>
      <c r="D693" s="223"/>
      <c r="E693" s="223"/>
      <c r="F693" s="229" t="str">
        <f t="shared" si="12"/>
        <v>-</v>
      </c>
    </row>
    <row r="694" spans="1:6" s="7" customFormat="1" x14ac:dyDescent="0.2">
      <c r="A694" s="220">
        <v>63723</v>
      </c>
      <c r="B694" s="221" t="s">
        <v>1154</v>
      </c>
      <c r="C694" s="222">
        <v>680</v>
      </c>
      <c r="D694" s="223"/>
      <c r="E694" s="223"/>
      <c r="F694" s="229" t="str">
        <f t="shared" si="12"/>
        <v>-</v>
      </c>
    </row>
    <row r="695" spans="1:6" s="7" customFormat="1" x14ac:dyDescent="0.2">
      <c r="A695" s="220">
        <v>63724</v>
      </c>
      <c r="B695" s="221" t="s">
        <v>1155</v>
      </c>
      <c r="C695" s="222">
        <v>681</v>
      </c>
      <c r="D695" s="223"/>
      <c r="E695" s="223"/>
      <c r="F695" s="229" t="str">
        <f t="shared" si="12"/>
        <v>-</v>
      </c>
    </row>
    <row r="696" spans="1:6" s="7" customFormat="1" x14ac:dyDescent="0.2">
      <c r="A696" s="220">
        <v>63725</v>
      </c>
      <c r="B696" s="221" t="s">
        <v>1156</v>
      </c>
      <c r="C696" s="222">
        <v>682</v>
      </c>
      <c r="D696" s="223"/>
      <c r="E696" s="223"/>
      <c r="F696" s="229" t="str">
        <f t="shared" si="12"/>
        <v>-</v>
      </c>
    </row>
    <row r="697" spans="1:6" s="7" customFormat="1" x14ac:dyDescent="0.2">
      <c r="A697" s="220">
        <v>63726</v>
      </c>
      <c r="B697" s="221" t="s">
        <v>1157</v>
      </c>
      <c r="C697" s="222">
        <v>683</v>
      </c>
      <c r="D697" s="223"/>
      <c r="E697" s="223"/>
      <c r="F697" s="229" t="str">
        <f t="shared" si="12"/>
        <v>-</v>
      </c>
    </row>
    <row r="698" spans="1:6" s="7" customFormat="1" ht="24" x14ac:dyDescent="0.2">
      <c r="A698" s="220">
        <v>63727</v>
      </c>
      <c r="B698" s="221" t="s">
        <v>1158</v>
      </c>
      <c r="C698" s="222">
        <v>684</v>
      </c>
      <c r="D698" s="223"/>
      <c r="E698" s="223"/>
      <c r="F698" s="229" t="str">
        <f t="shared" si="12"/>
        <v>-</v>
      </c>
    </row>
    <row r="699" spans="1:6" s="7" customFormat="1" ht="24" x14ac:dyDescent="0.2">
      <c r="A699" s="220">
        <v>63728</v>
      </c>
      <c r="B699" s="221" t="s">
        <v>1159</v>
      </c>
      <c r="C699" s="222">
        <v>685</v>
      </c>
      <c r="D699" s="223"/>
      <c r="E699" s="223"/>
      <c r="F699" s="229" t="str">
        <f t="shared" si="12"/>
        <v>-</v>
      </c>
    </row>
    <row r="700" spans="1:6" s="7" customFormat="1" x14ac:dyDescent="0.2">
      <c r="A700" s="220">
        <v>63811</v>
      </c>
      <c r="B700" s="221" t="s">
        <v>497</v>
      </c>
      <c r="C700" s="222">
        <v>686</v>
      </c>
      <c r="D700" s="223"/>
      <c r="E700" s="223"/>
      <c r="F700" s="229" t="str">
        <f t="shared" si="11"/>
        <v>-</v>
      </c>
    </row>
    <row r="701" spans="1:6" s="7" customFormat="1" x14ac:dyDescent="0.2">
      <c r="A701" s="220">
        <v>63812</v>
      </c>
      <c r="B701" s="221" t="s">
        <v>498</v>
      </c>
      <c r="C701" s="222">
        <v>687</v>
      </c>
      <c r="D701" s="223"/>
      <c r="E701" s="223"/>
      <c r="F701" s="229" t="str">
        <f t="shared" si="11"/>
        <v>-</v>
      </c>
    </row>
    <row r="702" spans="1:6" s="7" customFormat="1" ht="24" x14ac:dyDescent="0.2">
      <c r="A702" s="220" t="s">
        <v>499</v>
      </c>
      <c r="B702" s="221" t="s">
        <v>2778</v>
      </c>
      <c r="C702" s="222">
        <v>688</v>
      </c>
      <c r="D702" s="223"/>
      <c r="E702" s="223"/>
      <c r="F702" s="229" t="str">
        <f t="shared" si="11"/>
        <v>-</v>
      </c>
    </row>
    <row r="703" spans="1:6" s="7" customFormat="1" x14ac:dyDescent="0.2">
      <c r="A703" s="220" t="s">
        <v>2779</v>
      </c>
      <c r="B703" s="221" t="s">
        <v>2780</v>
      </c>
      <c r="C703" s="222">
        <v>689</v>
      </c>
      <c r="D703" s="223"/>
      <c r="E703" s="223"/>
      <c r="F703" s="229" t="str">
        <f t="shared" si="11"/>
        <v>-</v>
      </c>
    </row>
    <row r="704" spans="1:6" s="7" customFormat="1" x14ac:dyDescent="0.2">
      <c r="A704" s="220">
        <v>63821</v>
      </c>
      <c r="B704" s="221" t="s">
        <v>2781</v>
      </c>
      <c r="C704" s="222">
        <v>690</v>
      </c>
      <c r="D704" s="223">
        <v>1864545</v>
      </c>
      <c r="E704" s="223">
        <v>439411</v>
      </c>
      <c r="F704" s="229">
        <f t="shared" si="11"/>
        <v>23.566661035265977</v>
      </c>
    </row>
    <row r="705" spans="1:6" s="7" customFormat="1" x14ac:dyDescent="0.2">
      <c r="A705" s="220">
        <v>63822</v>
      </c>
      <c r="B705" s="221" t="s">
        <v>2782</v>
      </c>
      <c r="C705" s="222">
        <v>691</v>
      </c>
      <c r="D705" s="223">
        <v>138408</v>
      </c>
      <c r="E705" s="223">
        <f>46204+9000</f>
        <v>55204</v>
      </c>
      <c r="F705" s="229">
        <f t="shared" si="11"/>
        <v>39.884977746951044</v>
      </c>
    </row>
    <row r="706" spans="1:6" s="7" customFormat="1" ht="24" x14ac:dyDescent="0.2">
      <c r="A706" s="220" t="s">
        <v>2783</v>
      </c>
      <c r="B706" s="221" t="s">
        <v>2784</v>
      </c>
      <c r="C706" s="222">
        <v>692</v>
      </c>
      <c r="D706" s="223"/>
      <c r="E706" s="223"/>
      <c r="F706" s="229" t="str">
        <f t="shared" si="11"/>
        <v>-</v>
      </c>
    </row>
    <row r="707" spans="1:6" s="7" customFormat="1" x14ac:dyDescent="0.2">
      <c r="A707" s="220" t="s">
        <v>2785</v>
      </c>
      <c r="B707" s="221" t="s">
        <v>3805</v>
      </c>
      <c r="C707" s="222">
        <v>693</v>
      </c>
      <c r="D707" s="223"/>
      <c r="E707" s="223"/>
      <c r="F707" s="229" t="str">
        <f t="shared" si="11"/>
        <v>-</v>
      </c>
    </row>
    <row r="708" spans="1:6" s="7" customFormat="1" x14ac:dyDescent="0.2">
      <c r="A708" s="220">
        <v>64191</v>
      </c>
      <c r="B708" s="221" t="s">
        <v>838</v>
      </c>
      <c r="C708" s="222">
        <v>694</v>
      </c>
      <c r="D708" s="223"/>
      <c r="E708" s="223"/>
      <c r="F708" s="229" t="str">
        <f t="shared" si="11"/>
        <v>-</v>
      </c>
    </row>
    <row r="709" spans="1:6" s="7" customFormat="1" x14ac:dyDescent="0.2">
      <c r="A709" s="220">
        <v>64371</v>
      </c>
      <c r="B709" s="221" t="s">
        <v>839</v>
      </c>
      <c r="C709" s="222">
        <v>695</v>
      </c>
      <c r="D709" s="223"/>
      <c r="E709" s="223"/>
      <c r="F709" s="229" t="str">
        <f t="shared" si="11"/>
        <v>-</v>
      </c>
    </row>
    <row r="710" spans="1:6" s="7" customFormat="1" x14ac:dyDescent="0.2">
      <c r="A710" s="220">
        <v>64372</v>
      </c>
      <c r="B710" s="221" t="s">
        <v>840</v>
      </c>
      <c r="C710" s="222">
        <v>696</v>
      </c>
      <c r="D710" s="223"/>
      <c r="E710" s="223"/>
      <c r="F710" s="229" t="str">
        <f t="shared" si="11"/>
        <v>-</v>
      </c>
    </row>
    <row r="711" spans="1:6" s="7" customFormat="1" x14ac:dyDescent="0.2">
      <c r="A711" s="220">
        <v>64373</v>
      </c>
      <c r="B711" s="221" t="s">
        <v>841</v>
      </c>
      <c r="C711" s="222">
        <v>697</v>
      </c>
      <c r="D711" s="223"/>
      <c r="E711" s="223"/>
      <c r="F711" s="229" t="str">
        <f t="shared" si="11"/>
        <v>-</v>
      </c>
    </row>
    <row r="712" spans="1:6" s="7" customFormat="1" x14ac:dyDescent="0.2">
      <c r="A712" s="220">
        <v>64374</v>
      </c>
      <c r="B712" s="221" t="s">
        <v>178</v>
      </c>
      <c r="C712" s="222">
        <v>698</v>
      </c>
      <c r="D712" s="223"/>
      <c r="E712" s="223"/>
      <c r="F712" s="229" t="str">
        <f t="shared" si="11"/>
        <v>-</v>
      </c>
    </row>
    <row r="713" spans="1:6" s="7" customFormat="1" x14ac:dyDescent="0.2">
      <c r="A713" s="220">
        <v>64375</v>
      </c>
      <c r="B713" s="221" t="s">
        <v>1028</v>
      </c>
      <c r="C713" s="222">
        <v>699</v>
      </c>
      <c r="D713" s="223"/>
      <c r="E713" s="223"/>
      <c r="F713" s="229" t="str">
        <f t="shared" si="11"/>
        <v>-</v>
      </c>
    </row>
    <row r="714" spans="1:6" s="7" customFormat="1" ht="24" x14ac:dyDescent="0.2">
      <c r="A714" s="220">
        <v>64376</v>
      </c>
      <c r="B714" s="221" t="s">
        <v>802</v>
      </c>
      <c r="C714" s="222">
        <v>700</v>
      </c>
      <c r="D714" s="223"/>
      <c r="E714" s="223"/>
      <c r="F714" s="229" t="str">
        <f t="shared" si="11"/>
        <v>-</v>
      </c>
    </row>
    <row r="715" spans="1:6" s="7" customFormat="1" ht="24" x14ac:dyDescent="0.2">
      <c r="A715" s="220">
        <v>64377</v>
      </c>
      <c r="B715" s="221" t="s">
        <v>2121</v>
      </c>
      <c r="C715" s="222">
        <v>701</v>
      </c>
      <c r="D715" s="223"/>
      <c r="E715" s="223"/>
      <c r="F715" s="229" t="str">
        <f t="shared" si="11"/>
        <v>-</v>
      </c>
    </row>
    <row r="716" spans="1:6" s="7" customFormat="1" x14ac:dyDescent="0.2">
      <c r="A716" s="220">
        <v>65264</v>
      </c>
      <c r="B716" s="221" t="s">
        <v>1298</v>
      </c>
      <c r="C716" s="222">
        <v>702</v>
      </c>
      <c r="D716" s="223"/>
      <c r="E716" s="223"/>
      <c r="F716" s="229" t="str">
        <f t="shared" si="11"/>
        <v>-</v>
      </c>
    </row>
    <row r="717" spans="1:6" s="7" customFormat="1" x14ac:dyDescent="0.2">
      <c r="A717" s="220">
        <v>65265</v>
      </c>
      <c r="B717" s="221" t="s">
        <v>1698</v>
      </c>
      <c r="C717" s="222">
        <v>703</v>
      </c>
      <c r="D717" s="223"/>
      <c r="E717" s="223"/>
      <c r="F717" s="229" t="str">
        <f t="shared" ref="F717:F730" si="13">IF(D717&lt;&gt;0,IF(E717/D717&gt;=100,"&gt;&gt;100",E717/D717*100),"-")</f>
        <v>-</v>
      </c>
    </row>
    <row r="718" spans="1:6" s="7" customFormat="1" x14ac:dyDescent="0.2">
      <c r="A718" s="220" t="s">
        <v>3806</v>
      </c>
      <c r="B718" s="221" t="s">
        <v>3807</v>
      </c>
      <c r="C718" s="222">
        <v>704</v>
      </c>
      <c r="D718" s="223"/>
      <c r="E718" s="223"/>
      <c r="F718" s="229" t="str">
        <f t="shared" si="13"/>
        <v>-</v>
      </c>
    </row>
    <row r="719" spans="1:6" s="7" customFormat="1" ht="24" x14ac:dyDescent="0.2">
      <c r="A719" s="220">
        <v>66341</v>
      </c>
      <c r="B719" s="221" t="s">
        <v>1160</v>
      </c>
      <c r="C719" s="222">
        <v>705</v>
      </c>
      <c r="D719" s="223"/>
      <c r="E719" s="223"/>
      <c r="F719" s="229" t="str">
        <f t="shared" si="13"/>
        <v>-</v>
      </c>
    </row>
    <row r="720" spans="1:6" s="7" customFormat="1" ht="24" x14ac:dyDescent="0.2">
      <c r="A720" s="220">
        <v>66342</v>
      </c>
      <c r="B720" s="221" t="s">
        <v>1161</v>
      </c>
      <c r="C720" s="222">
        <v>706</v>
      </c>
      <c r="D720" s="223"/>
      <c r="E720" s="223"/>
      <c r="F720" s="229" t="str">
        <f t="shared" si="13"/>
        <v>-</v>
      </c>
    </row>
    <row r="721" spans="1:6" s="7" customFormat="1" x14ac:dyDescent="0.2">
      <c r="A721" s="220">
        <v>66343</v>
      </c>
      <c r="B721" s="221" t="s">
        <v>747</v>
      </c>
      <c r="C721" s="222">
        <v>707</v>
      </c>
      <c r="D721" s="223"/>
      <c r="E721" s="223"/>
      <c r="F721" s="229" t="str">
        <f t="shared" si="13"/>
        <v>-</v>
      </c>
    </row>
    <row r="722" spans="1:6" s="7" customFormat="1" x14ac:dyDescent="0.2">
      <c r="A722" s="220">
        <v>31214</v>
      </c>
      <c r="B722" s="221" t="s">
        <v>1229</v>
      </c>
      <c r="C722" s="222">
        <v>708</v>
      </c>
      <c r="D722" s="223"/>
      <c r="E722" s="223"/>
      <c r="F722" s="229" t="str">
        <f t="shared" si="13"/>
        <v>-</v>
      </c>
    </row>
    <row r="723" spans="1:6" s="7" customFormat="1" x14ac:dyDescent="0.2">
      <c r="A723" s="220">
        <v>31215</v>
      </c>
      <c r="B723" s="221" t="s">
        <v>1354</v>
      </c>
      <c r="C723" s="222">
        <v>709</v>
      </c>
      <c r="D723" s="223"/>
      <c r="E723" s="223"/>
      <c r="F723" s="229" t="str">
        <f t="shared" si="13"/>
        <v>-</v>
      </c>
    </row>
    <row r="724" spans="1:6" s="7" customFormat="1" x14ac:dyDescent="0.2">
      <c r="A724" s="220">
        <v>32121</v>
      </c>
      <c r="B724" s="221" t="s">
        <v>1230</v>
      </c>
      <c r="C724" s="222">
        <v>710</v>
      </c>
      <c r="D724" s="223">
        <v>24429</v>
      </c>
      <c r="E724" s="223">
        <v>19457</v>
      </c>
      <c r="F724" s="229">
        <f t="shared" si="13"/>
        <v>79.647140693438118</v>
      </c>
    </row>
    <row r="725" spans="1:6" s="7" customFormat="1" x14ac:dyDescent="0.2">
      <c r="A725" s="220" t="s">
        <v>3808</v>
      </c>
      <c r="B725" s="221" t="s">
        <v>3809</v>
      </c>
      <c r="C725" s="222">
        <v>711</v>
      </c>
      <c r="D725" s="223"/>
      <c r="E725" s="223"/>
      <c r="F725" s="229" t="str">
        <f t="shared" si="13"/>
        <v>-</v>
      </c>
    </row>
    <row r="726" spans="1:6" s="7" customFormat="1" x14ac:dyDescent="0.2">
      <c r="A726" s="220" t="s">
        <v>1355</v>
      </c>
      <c r="B726" s="221" t="s">
        <v>2478</v>
      </c>
      <c r="C726" s="222">
        <v>712</v>
      </c>
      <c r="D726" s="223"/>
      <c r="E726" s="223"/>
      <c r="F726" s="229" t="str">
        <f t="shared" si="13"/>
        <v>-</v>
      </c>
    </row>
    <row r="727" spans="1:6" s="7" customFormat="1" x14ac:dyDescent="0.2">
      <c r="A727" s="220" t="s">
        <v>1231</v>
      </c>
      <c r="B727" s="221" t="s">
        <v>1232</v>
      </c>
      <c r="C727" s="222">
        <v>713</v>
      </c>
      <c r="D727" s="223"/>
      <c r="E727" s="223"/>
      <c r="F727" s="229" t="str">
        <f t="shared" si="13"/>
        <v>-</v>
      </c>
    </row>
    <row r="728" spans="1:6" s="7" customFormat="1" x14ac:dyDescent="0.2">
      <c r="A728" s="220" t="s">
        <v>1233</v>
      </c>
      <c r="B728" s="221" t="s">
        <v>287</v>
      </c>
      <c r="C728" s="222">
        <v>714</v>
      </c>
      <c r="D728" s="223">
        <v>3435</v>
      </c>
      <c r="E728" s="223">
        <v>40307</v>
      </c>
      <c r="F728" s="229">
        <f t="shared" si="13"/>
        <v>1173.4206695778748</v>
      </c>
    </row>
    <row r="729" spans="1:6" s="7" customFormat="1" x14ac:dyDescent="0.2">
      <c r="A729" s="220" t="s">
        <v>2479</v>
      </c>
      <c r="B729" s="221" t="s">
        <v>1325</v>
      </c>
      <c r="C729" s="222">
        <v>715</v>
      </c>
      <c r="D729" s="223"/>
      <c r="E729" s="223"/>
      <c r="F729" s="229" t="str">
        <f t="shared" si="13"/>
        <v>-</v>
      </c>
    </row>
    <row r="730" spans="1:6" s="7" customFormat="1" x14ac:dyDescent="0.2">
      <c r="A730" s="220" t="s">
        <v>3810</v>
      </c>
      <c r="B730" s="221" t="s">
        <v>3811</v>
      </c>
      <c r="C730" s="222">
        <v>716</v>
      </c>
      <c r="D730" s="223"/>
      <c r="E730" s="223"/>
      <c r="F730" s="229" t="str">
        <f t="shared" si="13"/>
        <v>-</v>
      </c>
    </row>
    <row r="731" spans="1:6" s="7" customFormat="1" x14ac:dyDescent="0.2">
      <c r="A731" s="220">
        <v>32911</v>
      </c>
      <c r="B731" s="221" t="s">
        <v>919</v>
      </c>
      <c r="C731" s="222">
        <v>717</v>
      </c>
      <c r="D731" s="223">
        <v>40056</v>
      </c>
      <c r="E731" s="223">
        <v>160411</v>
      </c>
      <c r="F731" s="229">
        <f t="shared" ref="F731:F781" si="14">IF(D731&lt;&gt;0,IF(E731/D731&gt;=100,"&gt;&gt;100",E731/D731*100),"-")</f>
        <v>400.46684641501901</v>
      </c>
    </row>
    <row r="732" spans="1:6" s="7" customFormat="1" x14ac:dyDescent="0.2">
      <c r="A732" s="220" t="s">
        <v>1326</v>
      </c>
      <c r="B732" s="221" t="s">
        <v>1327</v>
      </c>
      <c r="C732" s="222">
        <v>718</v>
      </c>
      <c r="D732" s="223"/>
      <c r="E732" s="223"/>
      <c r="F732" s="229" t="str">
        <f t="shared" si="14"/>
        <v>-</v>
      </c>
    </row>
    <row r="733" spans="1:6" s="7" customFormat="1" x14ac:dyDescent="0.2">
      <c r="A733" s="220">
        <v>34111</v>
      </c>
      <c r="B733" s="221" t="s">
        <v>288</v>
      </c>
      <c r="C733" s="222">
        <v>719</v>
      </c>
      <c r="D733" s="223"/>
      <c r="E733" s="223"/>
      <c r="F733" s="229" t="str">
        <f t="shared" si="14"/>
        <v>-</v>
      </c>
    </row>
    <row r="734" spans="1:6" s="7" customFormat="1" x14ac:dyDescent="0.2">
      <c r="A734" s="220">
        <v>34112</v>
      </c>
      <c r="B734" s="221" t="s">
        <v>666</v>
      </c>
      <c r="C734" s="222">
        <v>720</v>
      </c>
      <c r="D734" s="223"/>
      <c r="E734" s="223"/>
      <c r="F734" s="229" t="str">
        <f t="shared" si="14"/>
        <v>-</v>
      </c>
    </row>
    <row r="735" spans="1:6" s="7" customFormat="1" x14ac:dyDescent="0.2">
      <c r="A735" s="220">
        <v>34121</v>
      </c>
      <c r="B735" s="221" t="s">
        <v>2905</v>
      </c>
      <c r="C735" s="222">
        <v>721</v>
      </c>
      <c r="D735" s="223"/>
      <c r="E735" s="223"/>
      <c r="F735" s="229" t="str">
        <f t="shared" si="14"/>
        <v>-</v>
      </c>
    </row>
    <row r="736" spans="1:6" s="7" customFormat="1" x14ac:dyDescent="0.2">
      <c r="A736" s="220">
        <v>34122</v>
      </c>
      <c r="B736" s="221" t="s">
        <v>2906</v>
      </c>
      <c r="C736" s="222">
        <v>722</v>
      </c>
      <c r="D736" s="223"/>
      <c r="E736" s="223"/>
      <c r="F736" s="229" t="str">
        <f t="shared" si="14"/>
        <v>-</v>
      </c>
    </row>
    <row r="737" spans="1:6" s="7" customFormat="1" x14ac:dyDescent="0.2">
      <c r="A737" s="220">
        <v>34131</v>
      </c>
      <c r="B737" s="221" t="s">
        <v>2907</v>
      </c>
      <c r="C737" s="222">
        <v>723</v>
      </c>
      <c r="D737" s="223"/>
      <c r="E737" s="223"/>
      <c r="F737" s="229" t="str">
        <f t="shared" si="14"/>
        <v>-</v>
      </c>
    </row>
    <row r="738" spans="1:6" s="7" customFormat="1" x14ac:dyDescent="0.2">
      <c r="A738" s="220">
        <v>34132</v>
      </c>
      <c r="B738" s="221" t="s">
        <v>2908</v>
      </c>
      <c r="C738" s="222">
        <v>724</v>
      </c>
      <c r="D738" s="223"/>
      <c r="E738" s="223"/>
      <c r="F738" s="229" t="str">
        <f t="shared" si="14"/>
        <v>-</v>
      </c>
    </row>
    <row r="739" spans="1:6" s="7" customFormat="1" x14ac:dyDescent="0.2">
      <c r="A739" s="220">
        <v>34191</v>
      </c>
      <c r="B739" s="221" t="s">
        <v>2909</v>
      </c>
      <c r="C739" s="222">
        <v>725</v>
      </c>
      <c r="D739" s="223"/>
      <c r="E739" s="223"/>
      <c r="F739" s="229" t="str">
        <f t="shared" si="14"/>
        <v>-</v>
      </c>
    </row>
    <row r="740" spans="1:6" s="7" customFormat="1" x14ac:dyDescent="0.2">
      <c r="A740" s="220">
        <v>34192</v>
      </c>
      <c r="B740" s="221" t="s">
        <v>2910</v>
      </c>
      <c r="C740" s="222">
        <v>726</v>
      </c>
      <c r="D740" s="223"/>
      <c r="E740" s="223"/>
      <c r="F740" s="229" t="str">
        <f t="shared" si="14"/>
        <v>-</v>
      </c>
    </row>
    <row r="741" spans="1:6" s="7" customFormat="1" x14ac:dyDescent="0.2">
      <c r="A741" s="220">
        <v>34213</v>
      </c>
      <c r="B741" s="221" t="s">
        <v>3184</v>
      </c>
      <c r="C741" s="222">
        <v>727</v>
      </c>
      <c r="D741" s="223"/>
      <c r="E741" s="223"/>
      <c r="F741" s="229" t="str">
        <f t="shared" si="14"/>
        <v>-</v>
      </c>
    </row>
    <row r="742" spans="1:6" s="7" customFormat="1" x14ac:dyDescent="0.2">
      <c r="A742" s="220">
        <v>34214</v>
      </c>
      <c r="B742" s="221" t="s">
        <v>1328</v>
      </c>
      <c r="C742" s="222">
        <v>728</v>
      </c>
      <c r="D742" s="223"/>
      <c r="E742" s="223"/>
      <c r="F742" s="229" t="str">
        <f t="shared" si="14"/>
        <v>-</v>
      </c>
    </row>
    <row r="743" spans="1:6" s="7" customFormat="1" x14ac:dyDescent="0.2">
      <c r="A743" s="220">
        <v>34215</v>
      </c>
      <c r="B743" s="221" t="s">
        <v>284</v>
      </c>
      <c r="C743" s="222">
        <v>729</v>
      </c>
      <c r="D743" s="223"/>
      <c r="E743" s="223"/>
      <c r="F743" s="229" t="str">
        <f t="shared" si="14"/>
        <v>-</v>
      </c>
    </row>
    <row r="744" spans="1:6" s="7" customFormat="1" x14ac:dyDescent="0.2">
      <c r="A744" s="220">
        <v>34216</v>
      </c>
      <c r="B744" s="221" t="s">
        <v>1955</v>
      </c>
      <c r="C744" s="222">
        <v>730</v>
      </c>
      <c r="D744" s="223"/>
      <c r="E744" s="223"/>
      <c r="F744" s="229" t="str">
        <f t="shared" si="14"/>
        <v>-</v>
      </c>
    </row>
    <row r="745" spans="1:6" s="7" customFormat="1" x14ac:dyDescent="0.2">
      <c r="A745" s="220">
        <v>34222</v>
      </c>
      <c r="B745" s="221" t="s">
        <v>1597</v>
      </c>
      <c r="C745" s="222">
        <v>731</v>
      </c>
      <c r="D745" s="223"/>
      <c r="E745" s="223"/>
      <c r="F745" s="229" t="str">
        <f t="shared" si="14"/>
        <v>-</v>
      </c>
    </row>
    <row r="746" spans="1:6" s="7" customFormat="1" x14ac:dyDescent="0.2">
      <c r="A746" s="220">
        <v>34223</v>
      </c>
      <c r="B746" s="221" t="s">
        <v>1598</v>
      </c>
      <c r="C746" s="222">
        <v>732</v>
      </c>
      <c r="D746" s="223"/>
      <c r="E746" s="223"/>
      <c r="F746" s="229" t="str">
        <f t="shared" si="14"/>
        <v>-</v>
      </c>
    </row>
    <row r="747" spans="1:6" s="7" customFormat="1" x14ac:dyDescent="0.2">
      <c r="A747" s="220">
        <v>34224</v>
      </c>
      <c r="B747" s="221" t="s">
        <v>547</v>
      </c>
      <c r="C747" s="222">
        <v>733</v>
      </c>
      <c r="D747" s="223"/>
      <c r="E747" s="223"/>
      <c r="F747" s="229" t="str">
        <f t="shared" si="14"/>
        <v>-</v>
      </c>
    </row>
    <row r="748" spans="1:6" s="7" customFormat="1" x14ac:dyDescent="0.2">
      <c r="A748" s="220">
        <v>34233</v>
      </c>
      <c r="B748" s="221" t="s">
        <v>548</v>
      </c>
      <c r="C748" s="222">
        <v>734</v>
      </c>
      <c r="D748" s="223"/>
      <c r="E748" s="223"/>
      <c r="F748" s="229" t="str">
        <f t="shared" si="14"/>
        <v>-</v>
      </c>
    </row>
    <row r="749" spans="1:6" s="7" customFormat="1" x14ac:dyDescent="0.2">
      <c r="A749" s="220">
        <v>34234</v>
      </c>
      <c r="B749" s="221" t="s">
        <v>2887</v>
      </c>
      <c r="C749" s="222">
        <v>735</v>
      </c>
      <c r="D749" s="223"/>
      <c r="E749" s="223"/>
      <c r="F749" s="229" t="str">
        <f t="shared" si="14"/>
        <v>-</v>
      </c>
    </row>
    <row r="750" spans="1:6" s="7" customFormat="1" ht="24" x14ac:dyDescent="0.2">
      <c r="A750" s="220">
        <v>34235</v>
      </c>
      <c r="B750" s="221" t="s">
        <v>2888</v>
      </c>
      <c r="C750" s="222">
        <v>736</v>
      </c>
      <c r="D750" s="223"/>
      <c r="E750" s="223"/>
      <c r="F750" s="229" t="str">
        <f t="shared" si="14"/>
        <v>-</v>
      </c>
    </row>
    <row r="751" spans="1:6" s="7" customFormat="1" x14ac:dyDescent="0.2">
      <c r="A751" s="220">
        <v>34236</v>
      </c>
      <c r="B751" s="221" t="s">
        <v>1599</v>
      </c>
      <c r="C751" s="222">
        <v>737</v>
      </c>
      <c r="D751" s="223"/>
      <c r="E751" s="223"/>
      <c r="F751" s="229" t="str">
        <f t="shared" si="14"/>
        <v>-</v>
      </c>
    </row>
    <row r="752" spans="1:6" s="7" customFormat="1" x14ac:dyDescent="0.2">
      <c r="A752" s="220">
        <v>34237</v>
      </c>
      <c r="B752" s="221" t="s">
        <v>1600</v>
      </c>
      <c r="C752" s="222">
        <v>738</v>
      </c>
      <c r="D752" s="223"/>
      <c r="E752" s="223"/>
      <c r="F752" s="229" t="str">
        <f t="shared" si="14"/>
        <v>-</v>
      </c>
    </row>
    <row r="753" spans="1:6" s="7" customFormat="1" x14ac:dyDescent="0.2">
      <c r="A753" s="220">
        <v>34238</v>
      </c>
      <c r="B753" s="221" t="s">
        <v>1601</v>
      </c>
      <c r="C753" s="222">
        <v>739</v>
      </c>
      <c r="D753" s="223"/>
      <c r="E753" s="223"/>
      <c r="F753" s="229" t="str">
        <f t="shared" si="14"/>
        <v>-</v>
      </c>
    </row>
    <row r="754" spans="1:6" s="7" customFormat="1" x14ac:dyDescent="0.2">
      <c r="A754" s="220">
        <v>34273</v>
      </c>
      <c r="B754" s="221" t="s">
        <v>3558</v>
      </c>
      <c r="C754" s="222">
        <v>740</v>
      </c>
      <c r="D754" s="223"/>
      <c r="E754" s="223"/>
      <c r="F754" s="229" t="str">
        <f t="shared" si="14"/>
        <v>-</v>
      </c>
    </row>
    <row r="755" spans="1:6" s="7" customFormat="1" x14ac:dyDescent="0.2">
      <c r="A755" s="220">
        <v>34274</v>
      </c>
      <c r="B755" s="221" t="s">
        <v>3559</v>
      </c>
      <c r="C755" s="222">
        <v>741</v>
      </c>
      <c r="D755" s="223"/>
      <c r="E755" s="223"/>
      <c r="F755" s="229" t="str">
        <f t="shared" si="14"/>
        <v>-</v>
      </c>
    </row>
    <row r="756" spans="1:6" s="7" customFormat="1" x14ac:dyDescent="0.2">
      <c r="A756" s="220">
        <v>34275</v>
      </c>
      <c r="B756" s="221" t="s">
        <v>3905</v>
      </c>
      <c r="C756" s="222">
        <v>742</v>
      </c>
      <c r="D756" s="223"/>
      <c r="E756" s="223"/>
      <c r="F756" s="229" t="str">
        <f t="shared" si="14"/>
        <v>-</v>
      </c>
    </row>
    <row r="757" spans="1:6" s="7" customFormat="1" x14ac:dyDescent="0.2">
      <c r="A757" s="220">
        <v>34281</v>
      </c>
      <c r="B757" s="221" t="s">
        <v>3906</v>
      </c>
      <c r="C757" s="222">
        <v>743</v>
      </c>
      <c r="D757" s="223"/>
      <c r="E757" s="223"/>
      <c r="F757" s="229" t="str">
        <f t="shared" si="14"/>
        <v>-</v>
      </c>
    </row>
    <row r="758" spans="1:6" s="7" customFormat="1" x14ac:dyDescent="0.2">
      <c r="A758" s="220">
        <v>34282</v>
      </c>
      <c r="B758" s="221" t="s">
        <v>3053</v>
      </c>
      <c r="C758" s="222">
        <v>744</v>
      </c>
      <c r="D758" s="223"/>
      <c r="E758" s="223"/>
      <c r="F758" s="229" t="str">
        <f t="shared" si="14"/>
        <v>-</v>
      </c>
    </row>
    <row r="759" spans="1:6" s="7" customFormat="1" x14ac:dyDescent="0.2">
      <c r="A759" s="220">
        <v>34283</v>
      </c>
      <c r="B759" s="221" t="s">
        <v>1821</v>
      </c>
      <c r="C759" s="222">
        <v>745</v>
      </c>
      <c r="D759" s="223"/>
      <c r="E759" s="223"/>
      <c r="F759" s="229" t="str">
        <f t="shared" si="14"/>
        <v>-</v>
      </c>
    </row>
    <row r="760" spans="1:6" s="7" customFormat="1" x14ac:dyDescent="0.2">
      <c r="A760" s="220">
        <v>34284</v>
      </c>
      <c r="B760" s="221" t="s">
        <v>1822</v>
      </c>
      <c r="C760" s="222">
        <v>746</v>
      </c>
      <c r="D760" s="223"/>
      <c r="E760" s="223"/>
      <c r="F760" s="229" t="str">
        <f t="shared" si="14"/>
        <v>-</v>
      </c>
    </row>
    <row r="761" spans="1:6" s="7" customFormat="1" x14ac:dyDescent="0.2">
      <c r="A761" s="220">
        <v>34285</v>
      </c>
      <c r="B761" s="221" t="s">
        <v>801</v>
      </c>
      <c r="C761" s="222">
        <v>747</v>
      </c>
      <c r="D761" s="223"/>
      <c r="E761" s="223"/>
      <c r="F761" s="229" t="str">
        <f t="shared" si="14"/>
        <v>-</v>
      </c>
    </row>
    <row r="762" spans="1:6" s="7" customFormat="1" x14ac:dyDescent="0.2">
      <c r="A762" s="220">
        <v>34286</v>
      </c>
      <c r="B762" s="368" t="s">
        <v>4036</v>
      </c>
      <c r="C762" s="222">
        <v>748</v>
      </c>
      <c r="D762" s="223"/>
      <c r="E762" s="223"/>
      <c r="F762" s="229" t="str">
        <f t="shared" si="14"/>
        <v>-</v>
      </c>
    </row>
    <row r="763" spans="1:6" s="7" customFormat="1" ht="24" x14ac:dyDescent="0.2">
      <c r="A763" s="220">
        <v>34287</v>
      </c>
      <c r="B763" s="221" t="s">
        <v>4037</v>
      </c>
      <c r="C763" s="222">
        <v>749</v>
      </c>
      <c r="D763" s="223"/>
      <c r="E763" s="223"/>
      <c r="F763" s="229" t="str">
        <f t="shared" si="14"/>
        <v>-</v>
      </c>
    </row>
    <row r="764" spans="1:6" s="7" customFormat="1" x14ac:dyDescent="0.2">
      <c r="A764" s="220">
        <v>34341</v>
      </c>
      <c r="B764" s="221" t="s">
        <v>4038</v>
      </c>
      <c r="C764" s="222">
        <v>750</v>
      </c>
      <c r="D764" s="223"/>
      <c r="E764" s="223"/>
      <c r="F764" s="229" t="str">
        <f t="shared" si="14"/>
        <v>-</v>
      </c>
    </row>
    <row r="765" spans="1:6" s="7" customFormat="1" x14ac:dyDescent="0.2">
      <c r="A765" s="220">
        <v>35231</v>
      </c>
      <c r="B765" s="221" t="s">
        <v>1932</v>
      </c>
      <c r="C765" s="222">
        <v>751</v>
      </c>
      <c r="D765" s="223"/>
      <c r="E765" s="223">
        <v>5695</v>
      </c>
      <c r="F765" s="229" t="str">
        <f t="shared" si="14"/>
        <v>-</v>
      </c>
    </row>
    <row r="766" spans="1:6" s="7" customFormat="1" x14ac:dyDescent="0.2">
      <c r="A766" s="220">
        <v>35232</v>
      </c>
      <c r="B766" s="221" t="s">
        <v>1933</v>
      </c>
      <c r="C766" s="222">
        <v>752</v>
      </c>
      <c r="D766" s="223"/>
      <c r="E766" s="223"/>
      <c r="F766" s="229" t="str">
        <f t="shared" si="14"/>
        <v>-</v>
      </c>
    </row>
    <row r="767" spans="1:6" s="7" customFormat="1" x14ac:dyDescent="0.2">
      <c r="A767" s="220">
        <v>36313</v>
      </c>
      <c r="B767" s="221" t="s">
        <v>4039</v>
      </c>
      <c r="C767" s="222">
        <v>753</v>
      </c>
      <c r="D767" s="223"/>
      <c r="E767" s="223"/>
      <c r="F767" s="229" t="str">
        <f t="shared" si="14"/>
        <v>-</v>
      </c>
    </row>
    <row r="768" spans="1:6" s="7" customFormat="1" x14ac:dyDescent="0.2">
      <c r="A768" s="220">
        <v>36314</v>
      </c>
      <c r="B768" s="221" t="s">
        <v>3167</v>
      </c>
      <c r="C768" s="222">
        <v>754</v>
      </c>
      <c r="D768" s="223"/>
      <c r="E768" s="223">
        <v>3810</v>
      </c>
      <c r="F768" s="229" t="str">
        <f t="shared" si="14"/>
        <v>-</v>
      </c>
    </row>
    <row r="769" spans="1:6" s="7" customFormat="1" x14ac:dyDescent="0.2">
      <c r="A769" s="220">
        <v>36315</v>
      </c>
      <c r="B769" s="221" t="s">
        <v>511</v>
      </c>
      <c r="C769" s="222">
        <v>755</v>
      </c>
      <c r="D769" s="223">
        <v>17679</v>
      </c>
      <c r="E769" s="223">
        <v>7470</v>
      </c>
      <c r="F769" s="229">
        <f t="shared" si="14"/>
        <v>42.25352112676056</v>
      </c>
    </row>
    <row r="770" spans="1:6" s="7" customFormat="1" x14ac:dyDescent="0.2">
      <c r="A770" s="220">
        <v>36316</v>
      </c>
      <c r="B770" s="221" t="s">
        <v>512</v>
      </c>
      <c r="C770" s="222">
        <v>756</v>
      </c>
      <c r="D770" s="223">
        <v>18000</v>
      </c>
      <c r="E770" s="223">
        <f>9000+18000</f>
        <v>27000</v>
      </c>
      <c r="F770" s="229">
        <f t="shared" si="14"/>
        <v>150</v>
      </c>
    </row>
    <row r="771" spans="1:6" s="7" customFormat="1" x14ac:dyDescent="0.2">
      <c r="A771" s="220">
        <v>36317</v>
      </c>
      <c r="B771" s="221" t="s">
        <v>513</v>
      </c>
      <c r="C771" s="222">
        <v>757</v>
      </c>
      <c r="D771" s="223"/>
      <c r="E771" s="223"/>
      <c r="F771" s="229" t="str">
        <f t="shared" si="14"/>
        <v>-</v>
      </c>
    </row>
    <row r="772" spans="1:6" s="7" customFormat="1" x14ac:dyDescent="0.2">
      <c r="A772" s="220">
        <v>36318</v>
      </c>
      <c r="B772" s="221" t="s">
        <v>173</v>
      </c>
      <c r="C772" s="222">
        <v>758</v>
      </c>
      <c r="D772" s="223"/>
      <c r="E772" s="223"/>
      <c r="F772" s="229" t="str">
        <f t="shared" si="14"/>
        <v>-</v>
      </c>
    </row>
    <row r="773" spans="1:6" s="7" customFormat="1" ht="24" x14ac:dyDescent="0.2">
      <c r="A773" s="220">
        <v>36319</v>
      </c>
      <c r="B773" s="221" t="s">
        <v>1029</v>
      </c>
      <c r="C773" s="222">
        <v>759</v>
      </c>
      <c r="D773" s="223"/>
      <c r="E773" s="223"/>
      <c r="F773" s="229" t="str">
        <f t="shared" si="14"/>
        <v>-</v>
      </c>
    </row>
    <row r="774" spans="1:6" s="7" customFormat="1" x14ac:dyDescent="0.2">
      <c r="A774" s="220">
        <v>36323</v>
      </c>
      <c r="B774" s="221" t="s">
        <v>3011</v>
      </c>
      <c r="C774" s="222">
        <v>760</v>
      </c>
      <c r="D774" s="223"/>
      <c r="E774" s="223"/>
      <c r="F774" s="229" t="str">
        <f t="shared" si="14"/>
        <v>-</v>
      </c>
    </row>
    <row r="775" spans="1:6" s="7" customFormat="1" x14ac:dyDescent="0.2">
      <c r="A775" s="220">
        <v>36324</v>
      </c>
      <c r="B775" s="221" t="s">
        <v>3012</v>
      </c>
      <c r="C775" s="222">
        <v>761</v>
      </c>
      <c r="D775" s="223"/>
      <c r="E775" s="223"/>
      <c r="F775" s="229" t="str">
        <f t="shared" si="14"/>
        <v>-</v>
      </c>
    </row>
    <row r="776" spans="1:6" s="7" customFormat="1" x14ac:dyDescent="0.2">
      <c r="A776" s="220">
        <v>36325</v>
      </c>
      <c r="B776" s="221" t="s">
        <v>3013</v>
      </c>
      <c r="C776" s="222">
        <v>762</v>
      </c>
      <c r="D776" s="223"/>
      <c r="E776" s="223"/>
      <c r="F776" s="229" t="str">
        <f t="shared" si="14"/>
        <v>-</v>
      </c>
    </row>
    <row r="777" spans="1:6" s="7" customFormat="1" x14ac:dyDescent="0.2">
      <c r="A777" s="220">
        <v>36326</v>
      </c>
      <c r="B777" s="221" t="s">
        <v>3014</v>
      </c>
      <c r="C777" s="222">
        <v>763</v>
      </c>
      <c r="D777" s="223"/>
      <c r="E777" s="223"/>
      <c r="F777" s="229" t="str">
        <f t="shared" si="14"/>
        <v>-</v>
      </c>
    </row>
    <row r="778" spans="1:6" s="7" customFormat="1" x14ac:dyDescent="0.2">
      <c r="A778" s="220">
        <v>36327</v>
      </c>
      <c r="B778" s="221" t="s">
        <v>3015</v>
      </c>
      <c r="C778" s="222">
        <v>764</v>
      </c>
      <c r="D778" s="223"/>
      <c r="E778" s="223"/>
      <c r="F778" s="229" t="str">
        <f t="shared" si="14"/>
        <v>-</v>
      </c>
    </row>
    <row r="779" spans="1:6" s="7" customFormat="1" x14ac:dyDescent="0.2">
      <c r="A779" s="220">
        <v>36328</v>
      </c>
      <c r="B779" s="221" t="s">
        <v>3016</v>
      </c>
      <c r="C779" s="222">
        <v>765</v>
      </c>
      <c r="D779" s="223"/>
      <c r="E779" s="223">
        <v>20833</v>
      </c>
      <c r="F779" s="229" t="str">
        <f t="shared" si="14"/>
        <v>-</v>
      </c>
    </row>
    <row r="780" spans="1:6" s="7" customFormat="1" ht="24" x14ac:dyDescent="0.2">
      <c r="A780" s="220">
        <v>36329</v>
      </c>
      <c r="B780" s="221" t="s">
        <v>3665</v>
      </c>
      <c r="C780" s="222">
        <v>766</v>
      </c>
      <c r="D780" s="223"/>
      <c r="E780" s="223"/>
      <c r="F780" s="229" t="str">
        <f t="shared" si="14"/>
        <v>-</v>
      </c>
    </row>
    <row r="781" spans="1:6" s="7" customFormat="1" x14ac:dyDescent="0.2">
      <c r="A781" s="220" t="s">
        <v>1183</v>
      </c>
      <c r="B781" s="221" t="s">
        <v>1184</v>
      </c>
      <c r="C781" s="222">
        <v>767</v>
      </c>
      <c r="D781" s="223"/>
      <c r="E781" s="223"/>
      <c r="F781" s="229" t="str">
        <f t="shared" si="14"/>
        <v>-</v>
      </c>
    </row>
    <row r="782" spans="1:6" s="7" customFormat="1" x14ac:dyDescent="0.2">
      <c r="A782" s="220" t="s">
        <v>1185</v>
      </c>
      <c r="B782" s="221" t="s">
        <v>1186</v>
      </c>
      <c r="C782" s="222">
        <v>768</v>
      </c>
      <c r="D782" s="223"/>
      <c r="E782" s="223"/>
      <c r="F782" s="229" t="str">
        <f t="shared" ref="F782:F844" si="15">IF(D782&lt;&gt;0,IF(E782/D782&gt;=100,"&gt;&gt;100",E782/D782*100),"-")</f>
        <v>-</v>
      </c>
    </row>
    <row r="783" spans="1:6" s="7" customFormat="1" x14ac:dyDescent="0.2">
      <c r="A783" s="220" t="s">
        <v>1187</v>
      </c>
      <c r="B783" s="221" t="s">
        <v>1188</v>
      </c>
      <c r="C783" s="222">
        <v>769</v>
      </c>
      <c r="D783" s="223"/>
      <c r="E783" s="223"/>
      <c r="F783" s="229" t="str">
        <f t="shared" si="15"/>
        <v>-</v>
      </c>
    </row>
    <row r="784" spans="1:6" s="7" customFormat="1" x14ac:dyDescent="0.2">
      <c r="A784" s="220" t="s">
        <v>1189</v>
      </c>
      <c r="B784" s="221" t="s">
        <v>1190</v>
      </c>
      <c r="C784" s="222">
        <v>770</v>
      </c>
      <c r="D784" s="223"/>
      <c r="E784" s="223"/>
      <c r="F784" s="229" t="str">
        <f t="shared" si="15"/>
        <v>-</v>
      </c>
    </row>
    <row r="785" spans="1:6" s="7" customFormat="1" ht="24" x14ac:dyDescent="0.2">
      <c r="A785" s="220" t="s">
        <v>1191</v>
      </c>
      <c r="B785" s="221" t="s">
        <v>1192</v>
      </c>
      <c r="C785" s="222">
        <v>771</v>
      </c>
      <c r="D785" s="223"/>
      <c r="E785" s="223"/>
      <c r="F785" s="229" t="str">
        <f t="shared" si="15"/>
        <v>-</v>
      </c>
    </row>
    <row r="786" spans="1:6" s="7" customFormat="1" ht="24" x14ac:dyDescent="0.2">
      <c r="A786" s="220" t="s">
        <v>1193</v>
      </c>
      <c r="B786" s="221" t="s">
        <v>1194</v>
      </c>
      <c r="C786" s="222">
        <v>772</v>
      </c>
      <c r="D786" s="223"/>
      <c r="E786" s="223"/>
      <c r="F786" s="229" t="str">
        <f t="shared" si="15"/>
        <v>-</v>
      </c>
    </row>
    <row r="787" spans="1:6" s="7" customFormat="1" x14ac:dyDescent="0.2">
      <c r="A787" s="220" t="s">
        <v>1195</v>
      </c>
      <c r="B787" s="221" t="s">
        <v>1196</v>
      </c>
      <c r="C787" s="222">
        <v>773</v>
      </c>
      <c r="D787" s="223"/>
      <c r="E787" s="223"/>
      <c r="F787" s="229" t="str">
        <f t="shared" si="15"/>
        <v>-</v>
      </c>
    </row>
    <row r="788" spans="1:6" s="7" customFormat="1" x14ac:dyDescent="0.2">
      <c r="A788" s="220" t="s">
        <v>1197</v>
      </c>
      <c r="B788" s="221" t="s">
        <v>1198</v>
      </c>
      <c r="C788" s="222">
        <v>774</v>
      </c>
      <c r="D788" s="223"/>
      <c r="E788" s="223"/>
      <c r="F788" s="229" t="str">
        <f t="shared" si="15"/>
        <v>-</v>
      </c>
    </row>
    <row r="789" spans="1:6" s="7" customFormat="1" x14ac:dyDescent="0.2">
      <c r="A789" s="220" t="s">
        <v>1199</v>
      </c>
      <c r="B789" s="221" t="s">
        <v>1200</v>
      </c>
      <c r="C789" s="222">
        <v>775</v>
      </c>
      <c r="D789" s="223"/>
      <c r="E789" s="223"/>
      <c r="F789" s="229" t="str">
        <f t="shared" si="15"/>
        <v>-</v>
      </c>
    </row>
    <row r="790" spans="1:6" s="7" customFormat="1" x14ac:dyDescent="0.2">
      <c r="A790" s="220" t="s">
        <v>1201</v>
      </c>
      <c r="B790" s="221" t="s">
        <v>1202</v>
      </c>
      <c r="C790" s="222">
        <v>776</v>
      </c>
      <c r="D790" s="223"/>
      <c r="E790" s="223"/>
      <c r="F790" s="229" t="str">
        <f t="shared" si="15"/>
        <v>-</v>
      </c>
    </row>
    <row r="791" spans="1:6" s="7" customFormat="1" x14ac:dyDescent="0.2">
      <c r="A791" s="220" t="s">
        <v>1203</v>
      </c>
      <c r="B791" s="221" t="s">
        <v>1204</v>
      </c>
      <c r="C791" s="222">
        <v>777</v>
      </c>
      <c r="D791" s="223"/>
      <c r="E791" s="223"/>
      <c r="F791" s="229" t="str">
        <f t="shared" si="15"/>
        <v>-</v>
      </c>
    </row>
    <row r="792" spans="1:6" s="7" customFormat="1" ht="24" x14ac:dyDescent="0.2">
      <c r="A792" s="220" t="s">
        <v>1205</v>
      </c>
      <c r="B792" s="221" t="s">
        <v>1206</v>
      </c>
      <c r="C792" s="222">
        <v>778</v>
      </c>
      <c r="D792" s="223"/>
      <c r="E792" s="223"/>
      <c r="F792" s="229" t="str">
        <f t="shared" si="15"/>
        <v>-</v>
      </c>
    </row>
    <row r="793" spans="1:6" s="7" customFormat="1" ht="24" x14ac:dyDescent="0.2">
      <c r="A793" s="220" t="s">
        <v>1207</v>
      </c>
      <c r="B793" s="221" t="s">
        <v>1208</v>
      </c>
      <c r="C793" s="222">
        <v>779</v>
      </c>
      <c r="D793" s="223"/>
      <c r="E793" s="223"/>
      <c r="F793" s="229" t="str">
        <f t="shared" si="15"/>
        <v>-</v>
      </c>
    </row>
    <row r="794" spans="1:6" s="7" customFormat="1" x14ac:dyDescent="0.2">
      <c r="A794" s="220" t="s">
        <v>1209</v>
      </c>
      <c r="B794" s="221" t="s">
        <v>1210</v>
      </c>
      <c r="C794" s="222">
        <v>780</v>
      </c>
      <c r="D794" s="223"/>
      <c r="E794" s="223"/>
      <c r="F794" s="229" t="str">
        <f t="shared" si="15"/>
        <v>-</v>
      </c>
    </row>
    <row r="795" spans="1:6" s="7" customFormat="1" ht="24" x14ac:dyDescent="0.2">
      <c r="A795" s="220" t="s">
        <v>1211</v>
      </c>
      <c r="B795" s="221" t="s">
        <v>1212</v>
      </c>
      <c r="C795" s="222">
        <v>781</v>
      </c>
      <c r="D795" s="223"/>
      <c r="E795" s="223"/>
      <c r="F795" s="229" t="str">
        <f t="shared" si="15"/>
        <v>-</v>
      </c>
    </row>
    <row r="796" spans="1:6" s="7" customFormat="1" ht="24" x14ac:dyDescent="0.2">
      <c r="A796" s="220" t="s">
        <v>920</v>
      </c>
      <c r="B796" s="221" t="s">
        <v>3666</v>
      </c>
      <c r="C796" s="222">
        <v>782</v>
      </c>
      <c r="D796" s="223"/>
      <c r="E796" s="223"/>
      <c r="F796" s="229" t="str">
        <f t="shared" si="15"/>
        <v>-</v>
      </c>
    </row>
    <row r="797" spans="1:6" s="7" customFormat="1" ht="24" x14ac:dyDescent="0.2">
      <c r="A797" s="220" t="s">
        <v>921</v>
      </c>
      <c r="B797" s="221" t="s">
        <v>922</v>
      </c>
      <c r="C797" s="222">
        <v>783</v>
      </c>
      <c r="D797" s="223"/>
      <c r="E797" s="223"/>
      <c r="F797" s="229" t="str">
        <f t="shared" si="15"/>
        <v>-</v>
      </c>
    </row>
    <row r="798" spans="1:6" s="7" customFormat="1" ht="24" x14ac:dyDescent="0.2">
      <c r="A798" s="220" t="s">
        <v>923</v>
      </c>
      <c r="B798" s="221" t="s">
        <v>924</v>
      </c>
      <c r="C798" s="222">
        <v>784</v>
      </c>
      <c r="D798" s="223"/>
      <c r="E798" s="223"/>
      <c r="F798" s="229" t="str">
        <f t="shared" si="15"/>
        <v>-</v>
      </c>
    </row>
    <row r="799" spans="1:6" s="7" customFormat="1" ht="24" x14ac:dyDescent="0.2">
      <c r="A799" s="220" t="s">
        <v>925</v>
      </c>
      <c r="B799" s="221" t="s">
        <v>926</v>
      </c>
      <c r="C799" s="222">
        <v>785</v>
      </c>
      <c r="D799" s="223"/>
      <c r="E799" s="223"/>
      <c r="F799" s="229" t="str">
        <f t="shared" si="15"/>
        <v>-</v>
      </c>
    </row>
    <row r="800" spans="1:6" s="7" customFormat="1" x14ac:dyDescent="0.2">
      <c r="A800" s="220" t="s">
        <v>927</v>
      </c>
      <c r="B800" s="221" t="s">
        <v>928</v>
      </c>
      <c r="C800" s="222">
        <v>786</v>
      </c>
      <c r="D800" s="223"/>
      <c r="E800" s="223"/>
      <c r="F800" s="229" t="str">
        <f t="shared" si="15"/>
        <v>-</v>
      </c>
    </row>
    <row r="801" spans="1:6" s="7" customFormat="1" x14ac:dyDescent="0.2">
      <c r="A801" s="220" t="s">
        <v>929</v>
      </c>
      <c r="B801" s="221" t="s">
        <v>930</v>
      </c>
      <c r="C801" s="222">
        <v>787</v>
      </c>
      <c r="D801" s="223"/>
      <c r="E801" s="223"/>
      <c r="F801" s="229" t="str">
        <f t="shared" si="15"/>
        <v>-</v>
      </c>
    </row>
    <row r="802" spans="1:6" s="7" customFormat="1" x14ac:dyDescent="0.2">
      <c r="A802" s="220" t="s">
        <v>931</v>
      </c>
      <c r="B802" s="221" t="s">
        <v>932</v>
      </c>
      <c r="C802" s="222">
        <v>788</v>
      </c>
      <c r="D802" s="223"/>
      <c r="E802" s="223"/>
      <c r="F802" s="229" t="str">
        <f t="shared" si="15"/>
        <v>-</v>
      </c>
    </row>
    <row r="803" spans="1:6" s="7" customFormat="1" ht="24" x14ac:dyDescent="0.2">
      <c r="A803" s="220" t="s">
        <v>933</v>
      </c>
      <c r="B803" s="221" t="s">
        <v>1849</v>
      </c>
      <c r="C803" s="222">
        <v>789</v>
      </c>
      <c r="D803" s="223"/>
      <c r="E803" s="223"/>
      <c r="F803" s="229" t="str">
        <f t="shared" si="15"/>
        <v>-</v>
      </c>
    </row>
    <row r="804" spans="1:6" s="7" customFormat="1" ht="24" x14ac:dyDescent="0.2">
      <c r="A804" s="220" t="s">
        <v>1850</v>
      </c>
      <c r="B804" s="221" t="s">
        <v>1851</v>
      </c>
      <c r="C804" s="222">
        <v>790</v>
      </c>
      <c r="D804" s="223"/>
      <c r="E804" s="223"/>
      <c r="F804" s="229" t="str">
        <f t="shared" si="15"/>
        <v>-</v>
      </c>
    </row>
    <row r="805" spans="1:6" s="7" customFormat="1" ht="24" x14ac:dyDescent="0.2">
      <c r="A805" s="220" t="s">
        <v>1852</v>
      </c>
      <c r="B805" s="221" t="s">
        <v>3667</v>
      </c>
      <c r="C805" s="222">
        <v>791</v>
      </c>
      <c r="D805" s="223"/>
      <c r="E805" s="223"/>
      <c r="F805" s="229" t="str">
        <f t="shared" si="15"/>
        <v>-</v>
      </c>
    </row>
    <row r="806" spans="1:6" s="7" customFormat="1" ht="24" x14ac:dyDescent="0.2">
      <c r="A806" s="220" t="s">
        <v>1853</v>
      </c>
      <c r="B806" s="221" t="s">
        <v>1854</v>
      </c>
      <c r="C806" s="222">
        <v>792</v>
      </c>
      <c r="D806" s="223"/>
      <c r="E806" s="223"/>
      <c r="F806" s="229" t="str">
        <f t="shared" si="15"/>
        <v>-</v>
      </c>
    </row>
    <row r="807" spans="1:6" s="7" customFormat="1" ht="24" x14ac:dyDescent="0.2">
      <c r="A807" s="220" t="s">
        <v>1855</v>
      </c>
      <c r="B807" s="221" t="s">
        <v>1856</v>
      </c>
      <c r="C807" s="222">
        <v>793</v>
      </c>
      <c r="D807" s="223"/>
      <c r="E807" s="223"/>
      <c r="F807" s="229" t="str">
        <f t="shared" si="15"/>
        <v>-</v>
      </c>
    </row>
    <row r="808" spans="1:6" s="7" customFormat="1" ht="24" x14ac:dyDescent="0.2">
      <c r="A808" s="220" t="s">
        <v>1857</v>
      </c>
      <c r="B808" s="221" t="s">
        <v>1858</v>
      </c>
      <c r="C808" s="222">
        <v>794</v>
      </c>
      <c r="D808" s="223"/>
      <c r="E808" s="223"/>
      <c r="F808" s="229" t="str">
        <f t="shared" si="15"/>
        <v>-</v>
      </c>
    </row>
    <row r="809" spans="1:6" s="7" customFormat="1" x14ac:dyDescent="0.2">
      <c r="A809" s="220" t="s">
        <v>1859</v>
      </c>
      <c r="B809" s="221" t="s">
        <v>1860</v>
      </c>
      <c r="C809" s="222">
        <v>795</v>
      </c>
      <c r="D809" s="223"/>
      <c r="E809" s="223"/>
      <c r="F809" s="229" t="str">
        <f t="shared" si="15"/>
        <v>-</v>
      </c>
    </row>
    <row r="810" spans="1:6" s="7" customFormat="1" x14ac:dyDescent="0.2">
      <c r="A810" s="220" t="s">
        <v>1861</v>
      </c>
      <c r="B810" s="221" t="s">
        <v>1862</v>
      </c>
      <c r="C810" s="222">
        <v>796</v>
      </c>
      <c r="D810" s="223"/>
      <c r="E810" s="223"/>
      <c r="F810" s="229" t="str">
        <f t="shared" si="15"/>
        <v>-</v>
      </c>
    </row>
    <row r="811" spans="1:6" s="7" customFormat="1" x14ac:dyDescent="0.2">
      <c r="A811" s="220" t="s">
        <v>1863</v>
      </c>
      <c r="B811" s="221" t="s">
        <v>1615</v>
      </c>
      <c r="C811" s="222">
        <v>797</v>
      </c>
      <c r="D811" s="223"/>
      <c r="E811" s="223"/>
      <c r="F811" s="229" t="str">
        <f t="shared" si="15"/>
        <v>-</v>
      </c>
    </row>
    <row r="812" spans="1:6" s="7" customFormat="1" ht="24" x14ac:dyDescent="0.2">
      <c r="A812" s="220" t="s">
        <v>1616</v>
      </c>
      <c r="B812" s="221" t="s">
        <v>1617</v>
      </c>
      <c r="C812" s="222">
        <v>798</v>
      </c>
      <c r="D812" s="223"/>
      <c r="E812" s="223"/>
      <c r="F812" s="229" t="str">
        <f t="shared" si="15"/>
        <v>-</v>
      </c>
    </row>
    <row r="813" spans="1:6" s="7" customFormat="1" ht="24" x14ac:dyDescent="0.2">
      <c r="A813" s="220" t="s">
        <v>1618</v>
      </c>
      <c r="B813" s="221" t="s">
        <v>1619</v>
      </c>
      <c r="C813" s="222">
        <v>799</v>
      </c>
      <c r="D813" s="223"/>
      <c r="E813" s="223"/>
      <c r="F813" s="229" t="str">
        <f t="shared" si="15"/>
        <v>-</v>
      </c>
    </row>
    <row r="814" spans="1:6" s="7" customFormat="1" x14ac:dyDescent="0.2">
      <c r="A814" s="220" t="s">
        <v>1620</v>
      </c>
      <c r="B814" s="221" t="s">
        <v>1621</v>
      </c>
      <c r="C814" s="222">
        <v>800</v>
      </c>
      <c r="D814" s="223"/>
      <c r="E814" s="223"/>
      <c r="F814" s="229" t="str">
        <f t="shared" si="15"/>
        <v>-</v>
      </c>
    </row>
    <row r="815" spans="1:6" s="7" customFormat="1" x14ac:dyDescent="0.2">
      <c r="A815" s="220" t="s">
        <v>1622</v>
      </c>
      <c r="B815" s="221" t="s">
        <v>1623</v>
      </c>
      <c r="C815" s="222">
        <v>801</v>
      </c>
      <c r="D815" s="223"/>
      <c r="E815" s="223"/>
      <c r="F815" s="229" t="str">
        <f t="shared" si="15"/>
        <v>-</v>
      </c>
    </row>
    <row r="816" spans="1:6" s="7" customFormat="1" x14ac:dyDescent="0.2">
      <c r="A816" s="220" t="s">
        <v>2836</v>
      </c>
      <c r="B816" s="221" t="s">
        <v>2837</v>
      </c>
      <c r="C816" s="222">
        <v>802</v>
      </c>
      <c r="D816" s="223"/>
      <c r="E816" s="223"/>
      <c r="F816" s="229" t="str">
        <f t="shared" si="15"/>
        <v>-</v>
      </c>
    </row>
    <row r="817" spans="1:6" s="7" customFormat="1" x14ac:dyDescent="0.2">
      <c r="A817" s="220" t="s">
        <v>2838</v>
      </c>
      <c r="B817" s="221" t="s">
        <v>2839</v>
      </c>
      <c r="C817" s="222">
        <v>803</v>
      </c>
      <c r="D817" s="223"/>
      <c r="E817" s="223"/>
      <c r="F817" s="229" t="str">
        <f t="shared" si="15"/>
        <v>-</v>
      </c>
    </row>
    <row r="818" spans="1:6" s="7" customFormat="1" x14ac:dyDescent="0.2">
      <c r="A818" s="220" t="s">
        <v>2840</v>
      </c>
      <c r="B818" s="221" t="s">
        <v>458</v>
      </c>
      <c r="C818" s="222">
        <v>804</v>
      </c>
      <c r="D818" s="223"/>
      <c r="E818" s="223"/>
      <c r="F818" s="229" t="str">
        <f t="shared" si="15"/>
        <v>-</v>
      </c>
    </row>
    <row r="819" spans="1:6" s="7" customFormat="1" x14ac:dyDescent="0.2">
      <c r="A819" s="220" t="s">
        <v>2841</v>
      </c>
      <c r="B819" s="221" t="s">
        <v>2842</v>
      </c>
      <c r="C819" s="222">
        <v>805</v>
      </c>
      <c r="D819" s="223"/>
      <c r="E819" s="223"/>
      <c r="F819" s="229" t="str">
        <f t="shared" si="15"/>
        <v>-</v>
      </c>
    </row>
    <row r="820" spans="1:6" s="7" customFormat="1" x14ac:dyDescent="0.2">
      <c r="A820" s="220" t="s">
        <v>2843</v>
      </c>
      <c r="B820" s="221" t="s">
        <v>4133</v>
      </c>
      <c r="C820" s="222">
        <v>806</v>
      </c>
      <c r="D820" s="223"/>
      <c r="E820" s="223"/>
      <c r="F820" s="229" t="str">
        <f t="shared" si="15"/>
        <v>-</v>
      </c>
    </row>
    <row r="821" spans="1:6" s="7" customFormat="1" x14ac:dyDescent="0.2">
      <c r="A821" s="220" t="s">
        <v>4134</v>
      </c>
      <c r="B821" s="221" t="s">
        <v>4135</v>
      </c>
      <c r="C821" s="222">
        <v>807</v>
      </c>
      <c r="D821" s="223"/>
      <c r="E821" s="223"/>
      <c r="F821" s="229" t="str">
        <f t="shared" si="15"/>
        <v>-</v>
      </c>
    </row>
    <row r="822" spans="1:6" s="7" customFormat="1" x14ac:dyDescent="0.2">
      <c r="A822" s="220" t="s">
        <v>4136</v>
      </c>
      <c r="B822" s="221" t="s">
        <v>1909</v>
      </c>
      <c r="C822" s="222">
        <v>808</v>
      </c>
      <c r="D822" s="223">
        <v>161050</v>
      </c>
      <c r="E822" s="223">
        <f>173000-31500-34000</f>
        <v>107500</v>
      </c>
      <c r="F822" s="229">
        <f t="shared" si="15"/>
        <v>66.749456690468804</v>
      </c>
    </row>
    <row r="823" spans="1:6" s="7" customFormat="1" x14ac:dyDescent="0.2">
      <c r="A823" s="220" t="s">
        <v>3171</v>
      </c>
      <c r="B823" s="221" t="s">
        <v>3172</v>
      </c>
      <c r="C823" s="222">
        <v>809</v>
      </c>
      <c r="D823" s="223"/>
      <c r="E823" s="223"/>
      <c r="F823" s="229" t="str">
        <f t="shared" si="15"/>
        <v>-</v>
      </c>
    </row>
    <row r="824" spans="1:6" s="7" customFormat="1" x14ac:dyDescent="0.2">
      <c r="A824" s="220" t="s">
        <v>3173</v>
      </c>
      <c r="B824" s="221" t="s">
        <v>3174</v>
      </c>
      <c r="C824" s="222">
        <v>810</v>
      </c>
      <c r="D824" s="223"/>
      <c r="E824" s="223"/>
      <c r="F824" s="229" t="str">
        <f t="shared" si="15"/>
        <v>-</v>
      </c>
    </row>
    <row r="825" spans="1:6" s="7" customFormat="1" x14ac:dyDescent="0.2">
      <c r="A825" s="220">
        <v>37215</v>
      </c>
      <c r="B825" s="221" t="s">
        <v>3982</v>
      </c>
      <c r="C825" s="222">
        <v>811</v>
      </c>
      <c r="D825" s="223">
        <v>31500</v>
      </c>
      <c r="E825" s="223">
        <v>31500</v>
      </c>
      <c r="F825" s="229">
        <f t="shared" si="15"/>
        <v>100</v>
      </c>
    </row>
    <row r="826" spans="1:6" s="7" customFormat="1" x14ac:dyDescent="0.2">
      <c r="A826" s="220">
        <v>37216</v>
      </c>
      <c r="B826" s="221" t="s">
        <v>3321</v>
      </c>
      <c r="C826" s="222">
        <v>812</v>
      </c>
      <c r="D826" s="223"/>
      <c r="E826" s="223"/>
      <c r="F826" s="229" t="str">
        <f t="shared" si="15"/>
        <v>-</v>
      </c>
    </row>
    <row r="827" spans="1:6" s="7" customFormat="1" x14ac:dyDescent="0.2">
      <c r="A827" s="220">
        <v>37217</v>
      </c>
      <c r="B827" s="221" t="s">
        <v>3175</v>
      </c>
      <c r="C827" s="222">
        <v>813</v>
      </c>
      <c r="D827" s="223">
        <v>18000</v>
      </c>
      <c r="E827" s="223">
        <v>34000</v>
      </c>
      <c r="F827" s="229">
        <f t="shared" si="15"/>
        <v>188.88888888888889</v>
      </c>
    </row>
    <row r="828" spans="1:6" s="7" customFormat="1" x14ac:dyDescent="0.2">
      <c r="A828" s="220">
        <v>37218</v>
      </c>
      <c r="B828" s="221" t="s">
        <v>3176</v>
      </c>
      <c r="C828" s="222">
        <v>814</v>
      </c>
      <c r="D828" s="223"/>
      <c r="E828" s="223"/>
      <c r="F828" s="229" t="str">
        <f t="shared" si="15"/>
        <v>-</v>
      </c>
    </row>
    <row r="829" spans="1:6" s="7" customFormat="1" x14ac:dyDescent="0.2">
      <c r="A829" s="220">
        <v>37219</v>
      </c>
      <c r="B829" s="221" t="s">
        <v>3177</v>
      </c>
      <c r="C829" s="222">
        <v>815</v>
      </c>
      <c r="D829" s="223"/>
      <c r="E829" s="223"/>
      <c r="F829" s="229" t="str">
        <f t="shared" si="15"/>
        <v>-</v>
      </c>
    </row>
    <row r="830" spans="1:6" s="7" customFormat="1" x14ac:dyDescent="0.2">
      <c r="A830" s="220">
        <v>37221</v>
      </c>
      <c r="B830" s="221" t="s">
        <v>1225</v>
      </c>
      <c r="C830" s="222">
        <v>816</v>
      </c>
      <c r="D830" s="223"/>
      <c r="E830" s="223"/>
      <c r="F830" s="229" t="str">
        <f t="shared" si="15"/>
        <v>-</v>
      </c>
    </row>
    <row r="831" spans="1:6" s="7" customFormat="1" x14ac:dyDescent="0.2">
      <c r="A831" s="220" t="s">
        <v>3178</v>
      </c>
      <c r="B831" s="221" t="s">
        <v>2842</v>
      </c>
      <c r="C831" s="222">
        <v>817</v>
      </c>
      <c r="D831" s="223">
        <v>54899</v>
      </c>
      <c r="E831" s="223">
        <v>33811</v>
      </c>
      <c r="F831" s="229">
        <f t="shared" si="15"/>
        <v>61.587642762163242</v>
      </c>
    </row>
    <row r="832" spans="1:6" s="7" customFormat="1" x14ac:dyDescent="0.2">
      <c r="A832" s="220" t="s">
        <v>3179</v>
      </c>
      <c r="B832" s="221" t="s">
        <v>3212</v>
      </c>
      <c r="C832" s="222">
        <v>818</v>
      </c>
      <c r="D832" s="223"/>
      <c r="E832" s="223"/>
      <c r="F832" s="229" t="str">
        <f t="shared" si="15"/>
        <v>-</v>
      </c>
    </row>
    <row r="833" spans="1:6" s="7" customFormat="1" x14ac:dyDescent="0.2">
      <c r="A833" s="220" t="s">
        <v>3180</v>
      </c>
      <c r="B833" s="221" t="s">
        <v>3181</v>
      </c>
      <c r="C833" s="222">
        <v>819</v>
      </c>
      <c r="D833" s="223">
        <v>3691</v>
      </c>
      <c r="E833" s="223">
        <v>6961</v>
      </c>
      <c r="F833" s="229">
        <f t="shared" si="15"/>
        <v>188.5938769981035</v>
      </c>
    </row>
    <row r="834" spans="1:6" s="7" customFormat="1" x14ac:dyDescent="0.2">
      <c r="A834" s="220" t="s">
        <v>3182</v>
      </c>
      <c r="B834" s="221" t="s">
        <v>3183</v>
      </c>
      <c r="C834" s="222">
        <v>820</v>
      </c>
      <c r="D834" s="223">
        <v>15429</v>
      </c>
      <c r="E834" s="223">
        <f>2320</f>
        <v>2320</v>
      </c>
      <c r="F834" s="229">
        <f t="shared" si="15"/>
        <v>15.036619353166117</v>
      </c>
    </row>
    <row r="835" spans="1:6" s="7" customFormat="1" x14ac:dyDescent="0.2">
      <c r="A835" s="220">
        <v>38117</v>
      </c>
      <c r="B835" s="221" t="s">
        <v>3322</v>
      </c>
      <c r="C835" s="222">
        <v>821</v>
      </c>
      <c r="D835" s="223"/>
      <c r="E835" s="223"/>
      <c r="F835" s="229" t="str">
        <f t="shared" si="15"/>
        <v>-</v>
      </c>
    </row>
    <row r="836" spans="1:6" s="7" customFormat="1" x14ac:dyDescent="0.2">
      <c r="A836" s="220">
        <v>38612</v>
      </c>
      <c r="B836" s="221" t="s">
        <v>1226</v>
      </c>
      <c r="C836" s="222">
        <v>822</v>
      </c>
      <c r="D836" s="223"/>
      <c r="E836" s="223"/>
      <c r="F836" s="229" t="str">
        <f t="shared" si="15"/>
        <v>-</v>
      </c>
    </row>
    <row r="837" spans="1:6" s="7" customFormat="1" x14ac:dyDescent="0.2">
      <c r="A837" s="220">
        <v>38613</v>
      </c>
      <c r="B837" s="221" t="s">
        <v>3323</v>
      </c>
      <c r="C837" s="222">
        <v>823</v>
      </c>
      <c r="D837" s="223"/>
      <c r="E837" s="223"/>
      <c r="F837" s="229" t="str">
        <f t="shared" si="15"/>
        <v>-</v>
      </c>
    </row>
    <row r="838" spans="1:6" s="7" customFormat="1" x14ac:dyDescent="0.2">
      <c r="A838" s="220">
        <v>38614</v>
      </c>
      <c r="B838" s="221" t="s">
        <v>3324</v>
      </c>
      <c r="C838" s="222">
        <v>824</v>
      </c>
      <c r="D838" s="223"/>
      <c r="E838" s="223"/>
      <c r="F838" s="229" t="str">
        <f t="shared" si="15"/>
        <v>-</v>
      </c>
    </row>
    <row r="839" spans="1:6" s="7" customFormat="1" x14ac:dyDescent="0.2">
      <c r="A839" s="220">
        <v>38615</v>
      </c>
      <c r="B839" s="221" t="s">
        <v>3325</v>
      </c>
      <c r="C839" s="222">
        <v>825</v>
      </c>
      <c r="D839" s="223"/>
      <c r="E839" s="223"/>
      <c r="F839" s="229" t="str">
        <f t="shared" si="15"/>
        <v>-</v>
      </c>
    </row>
    <row r="840" spans="1:6" s="7" customFormat="1" x14ac:dyDescent="0.2">
      <c r="A840" s="220">
        <v>38622</v>
      </c>
      <c r="B840" s="221" t="s">
        <v>1227</v>
      </c>
      <c r="C840" s="222">
        <v>826</v>
      </c>
      <c r="D840" s="223"/>
      <c r="E840" s="223"/>
      <c r="F840" s="229" t="str">
        <f t="shared" si="15"/>
        <v>-</v>
      </c>
    </row>
    <row r="841" spans="1:6" s="7" customFormat="1" x14ac:dyDescent="0.2">
      <c r="A841" s="220">
        <v>38623</v>
      </c>
      <c r="B841" s="221" t="s">
        <v>3326</v>
      </c>
      <c r="C841" s="222">
        <v>827</v>
      </c>
      <c r="D841" s="223"/>
      <c r="E841" s="223"/>
      <c r="F841" s="229" t="str">
        <f t="shared" si="15"/>
        <v>-</v>
      </c>
    </row>
    <row r="842" spans="1:6" s="7" customFormat="1" x14ac:dyDescent="0.2">
      <c r="A842" s="220">
        <v>38624</v>
      </c>
      <c r="B842" s="221" t="s">
        <v>3327</v>
      </c>
      <c r="C842" s="222">
        <v>828</v>
      </c>
      <c r="D842" s="223"/>
      <c r="E842" s="223"/>
      <c r="F842" s="229" t="str">
        <f t="shared" si="15"/>
        <v>-</v>
      </c>
    </row>
    <row r="843" spans="1:6" s="7" customFormat="1" x14ac:dyDescent="0.2">
      <c r="A843" s="220">
        <v>38625</v>
      </c>
      <c r="B843" s="221" t="s">
        <v>1337</v>
      </c>
      <c r="C843" s="222">
        <v>829</v>
      </c>
      <c r="D843" s="223"/>
      <c r="E843" s="223"/>
      <c r="F843" s="229" t="str">
        <f t="shared" si="15"/>
        <v>-</v>
      </c>
    </row>
    <row r="844" spans="1:6" s="7" customFormat="1" x14ac:dyDescent="0.2">
      <c r="A844" s="220" t="s">
        <v>3812</v>
      </c>
      <c r="B844" s="221" t="s">
        <v>3813</v>
      </c>
      <c r="C844" s="222">
        <v>830</v>
      </c>
      <c r="D844" s="223"/>
      <c r="E844" s="223"/>
      <c r="F844" s="229" t="str">
        <f t="shared" si="15"/>
        <v>-</v>
      </c>
    </row>
    <row r="845" spans="1:6" s="7" customFormat="1" x14ac:dyDescent="0.2">
      <c r="A845" s="220">
        <v>38631</v>
      </c>
      <c r="B845" s="221" t="s">
        <v>1228</v>
      </c>
      <c r="C845" s="222">
        <v>831</v>
      </c>
      <c r="D845" s="223"/>
      <c r="E845" s="223"/>
      <c r="F845" s="229" t="str">
        <f t="shared" ref="F845:F891" si="16">IF(D845&lt;&gt;0,IF(E845/D845&gt;=100,"&gt;&gt;100",E845/D845*100),"-")</f>
        <v>-</v>
      </c>
    </row>
    <row r="846" spans="1:6" s="7" customFormat="1" x14ac:dyDescent="0.2">
      <c r="A846" s="220">
        <v>38632</v>
      </c>
      <c r="B846" s="221" t="s">
        <v>1338</v>
      </c>
      <c r="C846" s="222">
        <v>832</v>
      </c>
      <c r="D846" s="223"/>
      <c r="E846" s="223"/>
      <c r="F846" s="229" t="str">
        <f t="shared" si="16"/>
        <v>-</v>
      </c>
    </row>
    <row r="847" spans="1:6" s="7" customFormat="1" x14ac:dyDescent="0.2">
      <c r="A847" s="220">
        <v>38641</v>
      </c>
      <c r="B847" s="221" t="s">
        <v>3814</v>
      </c>
      <c r="C847" s="222">
        <v>833</v>
      </c>
      <c r="D847" s="223"/>
      <c r="E847" s="223"/>
      <c r="F847" s="229" t="str">
        <f t="shared" si="16"/>
        <v>-</v>
      </c>
    </row>
    <row r="848" spans="1:6" s="7" customFormat="1" x14ac:dyDescent="0.2">
      <c r="A848" s="220" t="s">
        <v>3815</v>
      </c>
      <c r="B848" s="221" t="s">
        <v>396</v>
      </c>
      <c r="C848" s="222">
        <v>834</v>
      </c>
      <c r="D848" s="223"/>
      <c r="E848" s="223"/>
      <c r="F848" s="229" t="str">
        <f t="shared" si="16"/>
        <v>-</v>
      </c>
    </row>
    <row r="849" spans="1:6" s="7" customFormat="1" x14ac:dyDescent="0.2">
      <c r="A849" s="220" t="s">
        <v>1213</v>
      </c>
      <c r="B849" s="221" t="s">
        <v>1140</v>
      </c>
      <c r="C849" s="222">
        <v>835</v>
      </c>
      <c r="D849" s="223"/>
      <c r="E849" s="223"/>
      <c r="F849" s="229" t="str">
        <f t="shared" si="16"/>
        <v>-</v>
      </c>
    </row>
    <row r="850" spans="1:6" s="7" customFormat="1" ht="24" x14ac:dyDescent="0.2">
      <c r="A850" s="220" t="s">
        <v>1141</v>
      </c>
      <c r="B850" s="221" t="s">
        <v>1142</v>
      </c>
      <c r="C850" s="222">
        <v>836</v>
      </c>
      <c r="D850" s="223"/>
      <c r="E850" s="223"/>
      <c r="F850" s="229" t="str">
        <f t="shared" si="16"/>
        <v>-</v>
      </c>
    </row>
    <row r="851" spans="1:6" s="7" customFormat="1" x14ac:dyDescent="0.2">
      <c r="A851" s="220" t="s">
        <v>1143</v>
      </c>
      <c r="B851" s="221" t="s">
        <v>1144</v>
      </c>
      <c r="C851" s="222">
        <v>837</v>
      </c>
      <c r="D851" s="223"/>
      <c r="E851" s="223"/>
      <c r="F851" s="229" t="str">
        <f t="shared" si="16"/>
        <v>-</v>
      </c>
    </row>
    <row r="852" spans="1:6" s="7" customFormat="1" ht="24" x14ac:dyDescent="0.2">
      <c r="A852" s="220">
        <v>81212</v>
      </c>
      <c r="B852" s="221" t="s">
        <v>1409</v>
      </c>
      <c r="C852" s="222">
        <v>838</v>
      </c>
      <c r="D852" s="223"/>
      <c r="E852" s="223"/>
      <c r="F852" s="229" t="str">
        <f t="shared" si="16"/>
        <v>-</v>
      </c>
    </row>
    <row r="853" spans="1:6" s="7" customFormat="1" x14ac:dyDescent="0.2">
      <c r="A853" s="220">
        <v>81322</v>
      </c>
      <c r="B853" s="221" t="s">
        <v>1410</v>
      </c>
      <c r="C853" s="222">
        <v>839</v>
      </c>
      <c r="D853" s="223"/>
      <c r="E853" s="223"/>
      <c r="F853" s="229" t="str">
        <f t="shared" si="16"/>
        <v>-</v>
      </c>
    </row>
    <row r="854" spans="1:6" s="7" customFormat="1" x14ac:dyDescent="0.2">
      <c r="A854" s="220">
        <v>81332</v>
      </c>
      <c r="B854" s="221" t="s">
        <v>1411</v>
      </c>
      <c r="C854" s="222">
        <v>840</v>
      </c>
      <c r="D854" s="223"/>
      <c r="E854" s="223"/>
      <c r="F854" s="229" t="str">
        <f t="shared" si="16"/>
        <v>-</v>
      </c>
    </row>
    <row r="855" spans="1:6" s="7" customFormat="1" x14ac:dyDescent="0.2">
      <c r="A855" s="220">
        <v>81342</v>
      </c>
      <c r="B855" s="221" t="s">
        <v>1412</v>
      </c>
      <c r="C855" s="222">
        <v>841</v>
      </c>
      <c r="D855" s="223"/>
      <c r="E855" s="223"/>
      <c r="F855" s="229" t="str">
        <f t="shared" si="16"/>
        <v>-</v>
      </c>
    </row>
    <row r="856" spans="1:6" s="7" customFormat="1" x14ac:dyDescent="0.2">
      <c r="A856" s="220">
        <v>81411</v>
      </c>
      <c r="B856" s="221" t="s">
        <v>1413</v>
      </c>
      <c r="C856" s="222">
        <v>842</v>
      </c>
      <c r="D856" s="223"/>
      <c r="E856" s="223"/>
      <c r="F856" s="229" t="str">
        <f t="shared" si="16"/>
        <v>-</v>
      </c>
    </row>
    <row r="857" spans="1:6" s="7" customFormat="1" x14ac:dyDescent="0.2">
      <c r="A857" s="220">
        <v>81412</v>
      </c>
      <c r="B857" s="221" t="s">
        <v>1414</v>
      </c>
      <c r="C857" s="222">
        <v>843</v>
      </c>
      <c r="D857" s="223"/>
      <c r="E857" s="223"/>
      <c r="F857" s="229" t="str">
        <f t="shared" si="16"/>
        <v>-</v>
      </c>
    </row>
    <row r="858" spans="1:6" s="7" customFormat="1" x14ac:dyDescent="0.2">
      <c r="A858" s="220">
        <v>81532</v>
      </c>
      <c r="B858" s="221" t="s">
        <v>1415</v>
      </c>
      <c r="C858" s="222">
        <v>844</v>
      </c>
      <c r="D858" s="223"/>
      <c r="E858" s="223"/>
      <c r="F858" s="229" t="str">
        <f t="shared" si="16"/>
        <v>-</v>
      </c>
    </row>
    <row r="859" spans="1:6" s="7" customFormat="1" x14ac:dyDescent="0.2">
      <c r="A859" s="220">
        <v>81542</v>
      </c>
      <c r="B859" s="362" t="s">
        <v>361</v>
      </c>
      <c r="C859" s="222">
        <v>845</v>
      </c>
      <c r="D859" s="223"/>
      <c r="E859" s="223"/>
      <c r="F859" s="229" t="str">
        <f t="shared" si="16"/>
        <v>-</v>
      </c>
    </row>
    <row r="860" spans="1:6" s="7" customFormat="1" ht="24" x14ac:dyDescent="0.2">
      <c r="A860" s="220">
        <v>81552</v>
      </c>
      <c r="B860" s="221" t="s">
        <v>3518</v>
      </c>
      <c r="C860" s="222">
        <v>846</v>
      </c>
      <c r="D860" s="223"/>
      <c r="E860" s="223"/>
      <c r="F860" s="229" t="str">
        <f t="shared" si="16"/>
        <v>-</v>
      </c>
    </row>
    <row r="861" spans="1:6" s="7" customFormat="1" x14ac:dyDescent="0.2">
      <c r="A861" s="220">
        <v>81631</v>
      </c>
      <c r="B861" s="221" t="s">
        <v>1952</v>
      </c>
      <c r="C861" s="222">
        <v>847</v>
      </c>
      <c r="D861" s="223"/>
      <c r="E861" s="223"/>
      <c r="F861" s="229" t="str">
        <f t="shared" si="16"/>
        <v>-</v>
      </c>
    </row>
    <row r="862" spans="1:6" s="7" customFormat="1" x14ac:dyDescent="0.2">
      <c r="A862" s="220">
        <v>81632</v>
      </c>
      <c r="B862" s="221" t="s">
        <v>1953</v>
      </c>
      <c r="C862" s="222">
        <v>848</v>
      </c>
      <c r="D862" s="223"/>
      <c r="E862" s="223"/>
      <c r="F862" s="229" t="str">
        <f t="shared" si="16"/>
        <v>-</v>
      </c>
    </row>
    <row r="863" spans="1:6" s="7" customFormat="1" x14ac:dyDescent="0.2">
      <c r="A863" s="220">
        <v>81641</v>
      </c>
      <c r="B863" s="221" t="s">
        <v>570</v>
      </c>
      <c r="C863" s="222">
        <v>849</v>
      </c>
      <c r="D863" s="223"/>
      <c r="E863" s="223"/>
      <c r="F863" s="229" t="str">
        <f t="shared" si="16"/>
        <v>-</v>
      </c>
    </row>
    <row r="864" spans="1:6" s="7" customFormat="1" x14ac:dyDescent="0.2">
      <c r="A864" s="220">
        <v>81642</v>
      </c>
      <c r="B864" s="221" t="s">
        <v>3359</v>
      </c>
      <c r="C864" s="222">
        <v>850</v>
      </c>
      <c r="D864" s="223"/>
      <c r="E864" s="223"/>
      <c r="F864" s="229" t="str">
        <f t="shared" si="16"/>
        <v>-</v>
      </c>
    </row>
    <row r="865" spans="1:6" s="7" customFormat="1" x14ac:dyDescent="0.2">
      <c r="A865" s="220">
        <v>81711</v>
      </c>
      <c r="B865" s="221" t="s">
        <v>1872</v>
      </c>
      <c r="C865" s="222">
        <v>851</v>
      </c>
      <c r="D865" s="223"/>
      <c r="E865" s="223"/>
      <c r="F865" s="229" t="str">
        <f t="shared" si="16"/>
        <v>-</v>
      </c>
    </row>
    <row r="866" spans="1:6" s="7" customFormat="1" x14ac:dyDescent="0.2">
      <c r="A866" s="220">
        <v>81712</v>
      </c>
      <c r="B866" s="221" t="s">
        <v>1873</v>
      </c>
      <c r="C866" s="222">
        <v>852</v>
      </c>
      <c r="D866" s="223"/>
      <c r="E866" s="223"/>
      <c r="F866" s="229" t="str">
        <f t="shared" si="16"/>
        <v>-</v>
      </c>
    </row>
    <row r="867" spans="1:6" s="7" customFormat="1" x14ac:dyDescent="0.2">
      <c r="A867" s="220">
        <v>81721</v>
      </c>
      <c r="B867" s="221" t="s">
        <v>2700</v>
      </c>
      <c r="C867" s="222">
        <v>853</v>
      </c>
      <c r="D867" s="223"/>
      <c r="E867" s="223"/>
      <c r="F867" s="229" t="str">
        <f t="shared" si="16"/>
        <v>-</v>
      </c>
    </row>
    <row r="868" spans="1:6" s="7" customFormat="1" x14ac:dyDescent="0.2">
      <c r="A868" s="220">
        <v>81722</v>
      </c>
      <c r="B868" s="221" t="s">
        <v>2701</v>
      </c>
      <c r="C868" s="222">
        <v>854</v>
      </c>
      <c r="D868" s="223"/>
      <c r="E868" s="223"/>
      <c r="F868" s="229" t="str">
        <f t="shared" si="16"/>
        <v>-</v>
      </c>
    </row>
    <row r="869" spans="1:6" s="7" customFormat="1" x14ac:dyDescent="0.2">
      <c r="A869" s="220">
        <v>81731</v>
      </c>
      <c r="B869" s="221" t="s">
        <v>2702</v>
      </c>
      <c r="C869" s="222">
        <v>855</v>
      </c>
      <c r="D869" s="223"/>
      <c r="E869" s="223"/>
      <c r="F869" s="229" t="str">
        <f t="shared" si="16"/>
        <v>-</v>
      </c>
    </row>
    <row r="870" spans="1:6" s="7" customFormat="1" x14ac:dyDescent="0.2">
      <c r="A870" s="220">
        <v>81732</v>
      </c>
      <c r="B870" s="221" t="s">
        <v>2703</v>
      </c>
      <c r="C870" s="222">
        <v>856</v>
      </c>
      <c r="D870" s="223"/>
      <c r="E870" s="223"/>
      <c r="F870" s="229" t="str">
        <f t="shared" si="16"/>
        <v>-</v>
      </c>
    </row>
    <row r="871" spans="1:6" s="7" customFormat="1" x14ac:dyDescent="0.2">
      <c r="A871" s="220">
        <v>81741</v>
      </c>
      <c r="B871" s="221" t="s">
        <v>2704</v>
      </c>
      <c r="C871" s="222">
        <v>857</v>
      </c>
      <c r="D871" s="223"/>
      <c r="E871" s="223"/>
      <c r="F871" s="229" t="str">
        <f t="shared" si="16"/>
        <v>-</v>
      </c>
    </row>
    <row r="872" spans="1:6" s="7" customFormat="1" x14ac:dyDescent="0.2">
      <c r="A872" s="220">
        <v>81742</v>
      </c>
      <c r="B872" s="221" t="s">
        <v>2705</v>
      </c>
      <c r="C872" s="222">
        <v>858</v>
      </c>
      <c r="D872" s="223"/>
      <c r="E872" s="223"/>
      <c r="F872" s="229" t="str">
        <f t="shared" si="16"/>
        <v>-</v>
      </c>
    </row>
    <row r="873" spans="1:6" s="7" customFormat="1" x14ac:dyDescent="0.2">
      <c r="A873" s="220">
        <v>81751</v>
      </c>
      <c r="B873" s="221" t="s">
        <v>3941</v>
      </c>
      <c r="C873" s="222">
        <v>859</v>
      </c>
      <c r="D873" s="223"/>
      <c r="E873" s="223"/>
      <c r="F873" s="229" t="str">
        <f t="shared" si="16"/>
        <v>-</v>
      </c>
    </row>
    <row r="874" spans="1:6" s="7" customFormat="1" x14ac:dyDescent="0.2">
      <c r="A874" s="220">
        <v>81752</v>
      </c>
      <c r="B874" s="221" t="s">
        <v>212</v>
      </c>
      <c r="C874" s="222">
        <v>860</v>
      </c>
      <c r="D874" s="223"/>
      <c r="E874" s="223"/>
      <c r="F874" s="229" t="str">
        <f t="shared" si="16"/>
        <v>-</v>
      </c>
    </row>
    <row r="875" spans="1:6" s="7" customFormat="1" ht="24" x14ac:dyDescent="0.2">
      <c r="A875" s="220">
        <v>81761</v>
      </c>
      <c r="B875" s="221" t="s">
        <v>213</v>
      </c>
      <c r="C875" s="222">
        <v>861</v>
      </c>
      <c r="D875" s="223"/>
      <c r="E875" s="223"/>
      <c r="F875" s="229" t="str">
        <f t="shared" si="16"/>
        <v>-</v>
      </c>
    </row>
    <row r="876" spans="1:6" s="7" customFormat="1" ht="24" x14ac:dyDescent="0.2">
      <c r="A876" s="220">
        <v>81762</v>
      </c>
      <c r="B876" s="221" t="s">
        <v>214</v>
      </c>
      <c r="C876" s="222">
        <v>862</v>
      </c>
      <c r="D876" s="223"/>
      <c r="E876" s="223"/>
      <c r="F876" s="229" t="str">
        <f t="shared" si="16"/>
        <v>-</v>
      </c>
    </row>
    <row r="877" spans="1:6" s="7" customFormat="1" ht="24" x14ac:dyDescent="0.2">
      <c r="A877" s="220">
        <v>81771</v>
      </c>
      <c r="B877" s="221" t="s">
        <v>3274</v>
      </c>
      <c r="C877" s="222">
        <v>863</v>
      </c>
      <c r="D877" s="223"/>
      <c r="E877" s="223"/>
      <c r="F877" s="229" t="str">
        <f t="shared" si="16"/>
        <v>-</v>
      </c>
    </row>
    <row r="878" spans="1:6" s="7" customFormat="1" ht="24" x14ac:dyDescent="0.2">
      <c r="A878" s="220">
        <v>81772</v>
      </c>
      <c r="B878" s="221" t="s">
        <v>204</v>
      </c>
      <c r="C878" s="222">
        <v>864</v>
      </c>
      <c r="D878" s="223"/>
      <c r="E878" s="223"/>
      <c r="F878" s="229" t="str">
        <f t="shared" si="16"/>
        <v>-</v>
      </c>
    </row>
    <row r="879" spans="1:6" s="7" customFormat="1" x14ac:dyDescent="0.2">
      <c r="A879" s="220">
        <v>82412</v>
      </c>
      <c r="B879" s="221" t="s">
        <v>205</v>
      </c>
      <c r="C879" s="222">
        <v>865</v>
      </c>
      <c r="D879" s="223"/>
      <c r="E879" s="223"/>
      <c r="F879" s="229" t="str">
        <f t="shared" si="16"/>
        <v>-</v>
      </c>
    </row>
    <row r="880" spans="1:6" s="7" customFormat="1" x14ac:dyDescent="0.2">
      <c r="A880" s="220">
        <v>84132</v>
      </c>
      <c r="B880" s="221" t="s">
        <v>2429</v>
      </c>
      <c r="C880" s="222">
        <v>866</v>
      </c>
      <c r="D880" s="223"/>
      <c r="E880" s="223"/>
      <c r="F880" s="229" t="str">
        <f t="shared" si="16"/>
        <v>-</v>
      </c>
    </row>
    <row r="881" spans="1:6" s="7" customFormat="1" x14ac:dyDescent="0.2">
      <c r="A881" s="220">
        <v>84142</v>
      </c>
      <c r="B881" s="221" t="s">
        <v>2582</v>
      </c>
      <c r="C881" s="222">
        <v>867</v>
      </c>
      <c r="D881" s="223"/>
      <c r="E881" s="223"/>
      <c r="F881" s="229" t="str">
        <f t="shared" si="16"/>
        <v>-</v>
      </c>
    </row>
    <row r="882" spans="1:6" s="7" customFormat="1" x14ac:dyDescent="0.2">
      <c r="A882" s="220">
        <v>84152</v>
      </c>
      <c r="B882" s="221" t="s">
        <v>3456</v>
      </c>
      <c r="C882" s="222">
        <v>868</v>
      </c>
      <c r="D882" s="223"/>
      <c r="E882" s="223"/>
      <c r="F882" s="229" t="str">
        <f t="shared" si="16"/>
        <v>-</v>
      </c>
    </row>
    <row r="883" spans="1:6" s="7" customFormat="1" x14ac:dyDescent="0.2">
      <c r="A883" s="220">
        <v>84162</v>
      </c>
      <c r="B883" s="221" t="s">
        <v>3457</v>
      </c>
      <c r="C883" s="222">
        <v>869</v>
      </c>
      <c r="D883" s="223"/>
      <c r="E883" s="223"/>
      <c r="F883" s="229" t="str">
        <f t="shared" si="16"/>
        <v>-</v>
      </c>
    </row>
    <row r="884" spans="1:6" s="7" customFormat="1" x14ac:dyDescent="0.2">
      <c r="A884" s="220">
        <v>84221</v>
      </c>
      <c r="B884" s="221" t="s">
        <v>3458</v>
      </c>
      <c r="C884" s="222">
        <v>870</v>
      </c>
      <c r="D884" s="223"/>
      <c r="E884" s="223"/>
      <c r="F884" s="229" t="str">
        <f t="shared" si="16"/>
        <v>-</v>
      </c>
    </row>
    <row r="885" spans="1:6" s="7" customFormat="1" x14ac:dyDescent="0.2">
      <c r="A885" s="220">
        <v>84222</v>
      </c>
      <c r="B885" s="221" t="s">
        <v>3459</v>
      </c>
      <c r="C885" s="222">
        <v>871</v>
      </c>
      <c r="D885" s="223"/>
      <c r="E885" s="223"/>
      <c r="F885" s="229" t="str">
        <f t="shared" si="16"/>
        <v>-</v>
      </c>
    </row>
    <row r="886" spans="1:6" s="7" customFormat="1" x14ac:dyDescent="0.2">
      <c r="A886" s="220" t="s">
        <v>3234</v>
      </c>
      <c r="B886" s="221" t="s">
        <v>900</v>
      </c>
      <c r="C886" s="222">
        <v>872</v>
      </c>
      <c r="D886" s="223"/>
      <c r="E886" s="223"/>
      <c r="F886" s="229" t="str">
        <f t="shared" si="16"/>
        <v>-</v>
      </c>
    </row>
    <row r="887" spans="1:6" s="7" customFormat="1" x14ac:dyDescent="0.2">
      <c r="A887" s="220">
        <v>84232</v>
      </c>
      <c r="B887" s="221" t="s">
        <v>3460</v>
      </c>
      <c r="C887" s="222">
        <v>873</v>
      </c>
      <c r="D887" s="223"/>
      <c r="E887" s="223"/>
      <c r="F887" s="229" t="str">
        <f t="shared" si="16"/>
        <v>-</v>
      </c>
    </row>
    <row r="888" spans="1:6" s="7" customFormat="1" x14ac:dyDescent="0.2">
      <c r="A888" s="220">
        <v>84242</v>
      </c>
      <c r="B888" s="221" t="s">
        <v>3461</v>
      </c>
      <c r="C888" s="222">
        <v>874</v>
      </c>
      <c r="D888" s="223"/>
      <c r="E888" s="223"/>
      <c r="F888" s="229" t="str">
        <f t="shared" si="16"/>
        <v>-</v>
      </c>
    </row>
    <row r="889" spans="1:6" s="7" customFormat="1" x14ac:dyDescent="0.2">
      <c r="A889" s="220" t="s">
        <v>901</v>
      </c>
      <c r="B889" s="221" t="s">
        <v>3707</v>
      </c>
      <c r="C889" s="222">
        <v>875</v>
      </c>
      <c r="D889" s="223"/>
      <c r="E889" s="223"/>
      <c r="F889" s="229" t="str">
        <f t="shared" si="16"/>
        <v>-</v>
      </c>
    </row>
    <row r="890" spans="1:6" s="7" customFormat="1" x14ac:dyDescent="0.2">
      <c r="A890" s="220">
        <v>84312</v>
      </c>
      <c r="B890" s="221" t="s">
        <v>3462</v>
      </c>
      <c r="C890" s="222">
        <v>876</v>
      </c>
      <c r="D890" s="223"/>
      <c r="E890" s="223"/>
      <c r="F890" s="229" t="str">
        <f t="shared" si="16"/>
        <v>-</v>
      </c>
    </row>
    <row r="891" spans="1:6" s="7" customFormat="1" x14ac:dyDescent="0.2">
      <c r="A891" s="220">
        <v>84431</v>
      </c>
      <c r="B891" s="221" t="s">
        <v>3463</v>
      </c>
      <c r="C891" s="222">
        <v>877</v>
      </c>
      <c r="D891" s="223"/>
      <c r="E891" s="223"/>
      <c r="F891" s="229" t="str">
        <f t="shared" si="16"/>
        <v>-</v>
      </c>
    </row>
    <row r="892" spans="1:6" s="7" customFormat="1" x14ac:dyDescent="0.2">
      <c r="A892" s="220">
        <v>84432</v>
      </c>
      <c r="B892" s="221" t="s">
        <v>3464</v>
      </c>
      <c r="C892" s="222">
        <v>878</v>
      </c>
      <c r="D892" s="223"/>
      <c r="E892" s="223"/>
      <c r="F892" s="229" t="str">
        <f>IF(D892&lt;&gt;0,IF(E892/D892&gt;=100,"&gt;&gt;100",E892/D892*100),"-")</f>
        <v>-</v>
      </c>
    </row>
    <row r="893" spans="1:6" s="7" customFormat="1" x14ac:dyDescent="0.2">
      <c r="A893" s="220" t="s">
        <v>3708</v>
      </c>
      <c r="B893" s="221" t="s">
        <v>3709</v>
      </c>
      <c r="C893" s="222">
        <v>879</v>
      </c>
      <c r="D893" s="223"/>
      <c r="E893" s="223"/>
      <c r="F893" s="229" t="str">
        <f>IF(D893&lt;&gt;0,IF(E893/D893&gt;=100,"&gt;&gt;100",E893/D893*100),"-")</f>
        <v>-</v>
      </c>
    </row>
    <row r="894" spans="1:6" s="7" customFormat="1" x14ac:dyDescent="0.2">
      <c r="A894" s="220">
        <v>84442</v>
      </c>
      <c r="B894" s="221" t="s">
        <v>3465</v>
      </c>
      <c r="C894" s="222">
        <v>880</v>
      </c>
      <c r="D894" s="223"/>
      <c r="E894" s="223"/>
      <c r="F894" s="229" t="str">
        <f>IF(D894&lt;&gt;0,IF(E894/D894&gt;=100,"&gt;&gt;100",E894/D894*100),"-")</f>
        <v>-</v>
      </c>
    </row>
    <row r="895" spans="1:6" s="7" customFormat="1" ht="24" x14ac:dyDescent="0.2">
      <c r="A895" s="220">
        <v>84452</v>
      </c>
      <c r="B895" s="221" t="s">
        <v>3466</v>
      </c>
      <c r="C895" s="222">
        <v>881</v>
      </c>
      <c r="D895" s="223"/>
      <c r="E895" s="223"/>
      <c r="F895" s="229" t="str">
        <f>IF(D895&lt;&gt;0,IF(E895/D895&gt;=100,"&gt;&gt;100",E895/D895*100),"-")</f>
        <v>-</v>
      </c>
    </row>
    <row r="896" spans="1:6" s="7" customFormat="1" x14ac:dyDescent="0.2">
      <c r="A896" s="220" t="s">
        <v>3710</v>
      </c>
      <c r="B896" s="368" t="s">
        <v>3711</v>
      </c>
      <c r="C896" s="222">
        <v>882</v>
      </c>
      <c r="D896" s="223"/>
      <c r="E896" s="223"/>
      <c r="F896" s="229" t="str">
        <f t="shared" ref="F896:F922" si="17">IF(D896&lt;&gt;0,IF(E896/D896&gt;=100,"&gt;&gt;100",E896/D896*100),"-")</f>
        <v>-</v>
      </c>
    </row>
    <row r="897" spans="1:6" s="7" customFormat="1" x14ac:dyDescent="0.2">
      <c r="A897" s="220">
        <v>84461</v>
      </c>
      <c r="B897" s="221" t="s">
        <v>3467</v>
      </c>
      <c r="C897" s="222">
        <v>883</v>
      </c>
      <c r="D897" s="223"/>
      <c r="E897" s="223"/>
      <c r="F897" s="229" t="str">
        <f t="shared" si="17"/>
        <v>-</v>
      </c>
    </row>
    <row r="898" spans="1:6" s="7" customFormat="1" x14ac:dyDescent="0.2">
      <c r="A898" s="220">
        <v>84462</v>
      </c>
      <c r="B898" s="221" t="s">
        <v>2401</v>
      </c>
      <c r="C898" s="222">
        <v>884</v>
      </c>
      <c r="D898" s="223"/>
      <c r="E898" s="223"/>
      <c r="F898" s="229" t="str">
        <f t="shared" si="17"/>
        <v>-</v>
      </c>
    </row>
    <row r="899" spans="1:6" s="7" customFormat="1" x14ac:dyDescent="0.2">
      <c r="A899" s="220" t="s">
        <v>3712</v>
      </c>
      <c r="B899" s="221" t="s">
        <v>940</v>
      </c>
      <c r="C899" s="222">
        <v>885</v>
      </c>
      <c r="D899" s="223"/>
      <c r="E899" s="223"/>
      <c r="F899" s="229" t="str">
        <f t="shared" si="17"/>
        <v>-</v>
      </c>
    </row>
    <row r="900" spans="1:6" s="7" customFormat="1" x14ac:dyDescent="0.2">
      <c r="A900" s="220">
        <v>84472</v>
      </c>
      <c r="B900" s="221" t="s">
        <v>2402</v>
      </c>
      <c r="C900" s="222">
        <v>886</v>
      </c>
      <c r="D900" s="223"/>
      <c r="E900" s="223"/>
      <c r="F900" s="229" t="str">
        <f t="shared" si="17"/>
        <v>-</v>
      </c>
    </row>
    <row r="901" spans="1:6" s="7" customFormat="1" x14ac:dyDescent="0.2">
      <c r="A901" s="220">
        <v>84482</v>
      </c>
      <c r="B901" s="221" t="s">
        <v>2403</v>
      </c>
      <c r="C901" s="222">
        <v>887</v>
      </c>
      <c r="D901" s="223"/>
      <c r="E901" s="223"/>
      <c r="F901" s="229" t="str">
        <f t="shared" si="17"/>
        <v>-</v>
      </c>
    </row>
    <row r="902" spans="1:6" s="7" customFormat="1" x14ac:dyDescent="0.2">
      <c r="A902" s="220" t="s">
        <v>941</v>
      </c>
      <c r="B902" s="221" t="s">
        <v>165</v>
      </c>
      <c r="C902" s="222">
        <v>888</v>
      </c>
      <c r="D902" s="223"/>
      <c r="E902" s="223"/>
      <c r="F902" s="229" t="str">
        <f t="shared" si="17"/>
        <v>-</v>
      </c>
    </row>
    <row r="903" spans="1:6" s="7" customFormat="1" x14ac:dyDescent="0.2">
      <c r="A903" s="220">
        <v>84532</v>
      </c>
      <c r="B903" s="221" t="s">
        <v>1749</v>
      </c>
      <c r="C903" s="222">
        <v>889</v>
      </c>
      <c r="D903" s="223"/>
      <c r="E903" s="223"/>
      <c r="F903" s="229" t="str">
        <f t="shared" si="17"/>
        <v>-</v>
      </c>
    </row>
    <row r="904" spans="1:6" s="7" customFormat="1" x14ac:dyDescent="0.2">
      <c r="A904" s="220">
        <v>84542</v>
      </c>
      <c r="B904" s="221" t="s">
        <v>3607</v>
      </c>
      <c r="C904" s="222">
        <v>890</v>
      </c>
      <c r="D904" s="223"/>
      <c r="E904" s="223"/>
      <c r="F904" s="229" t="str">
        <f t="shared" si="17"/>
        <v>-</v>
      </c>
    </row>
    <row r="905" spans="1:6" s="7" customFormat="1" x14ac:dyDescent="0.2">
      <c r="A905" s="220">
        <v>84552</v>
      </c>
      <c r="B905" s="221" t="s">
        <v>1750</v>
      </c>
      <c r="C905" s="222">
        <v>891</v>
      </c>
      <c r="D905" s="223"/>
      <c r="E905" s="223"/>
      <c r="F905" s="229" t="str">
        <f t="shared" si="17"/>
        <v>-</v>
      </c>
    </row>
    <row r="906" spans="1:6" s="7" customFormat="1" x14ac:dyDescent="0.2">
      <c r="A906" s="220">
        <v>84711</v>
      </c>
      <c r="B906" s="221" t="s">
        <v>1751</v>
      </c>
      <c r="C906" s="222">
        <v>892</v>
      </c>
      <c r="D906" s="223"/>
      <c r="E906" s="223"/>
      <c r="F906" s="229" t="str">
        <f t="shared" si="17"/>
        <v>-</v>
      </c>
    </row>
    <row r="907" spans="1:6" s="7" customFormat="1" x14ac:dyDescent="0.2">
      <c r="A907" s="220">
        <v>84712</v>
      </c>
      <c r="B907" s="221" t="s">
        <v>75</v>
      </c>
      <c r="C907" s="222">
        <v>893</v>
      </c>
      <c r="D907" s="223"/>
      <c r="E907" s="223"/>
      <c r="F907" s="229" t="str">
        <f t="shared" si="17"/>
        <v>-</v>
      </c>
    </row>
    <row r="908" spans="1:6" s="7" customFormat="1" x14ac:dyDescent="0.2">
      <c r="A908" s="220">
        <v>84721</v>
      </c>
      <c r="B908" s="221" t="s">
        <v>76</v>
      </c>
      <c r="C908" s="222">
        <v>894</v>
      </c>
      <c r="D908" s="223"/>
      <c r="E908" s="223"/>
      <c r="F908" s="229" t="str">
        <f t="shared" si="17"/>
        <v>-</v>
      </c>
    </row>
    <row r="909" spans="1:6" s="7" customFormat="1" x14ac:dyDescent="0.2">
      <c r="A909" s="220">
        <v>84722</v>
      </c>
      <c r="B909" s="221" t="s">
        <v>77</v>
      </c>
      <c r="C909" s="222">
        <v>895</v>
      </c>
      <c r="D909" s="223"/>
      <c r="E909" s="223"/>
      <c r="F909" s="229" t="str">
        <f t="shared" si="17"/>
        <v>-</v>
      </c>
    </row>
    <row r="910" spans="1:6" s="7" customFormat="1" x14ac:dyDescent="0.2">
      <c r="A910" s="220">
        <v>84731</v>
      </c>
      <c r="B910" s="221" t="s">
        <v>78</v>
      </c>
      <c r="C910" s="222">
        <v>896</v>
      </c>
      <c r="D910" s="223"/>
      <c r="E910" s="223"/>
      <c r="F910" s="229" t="str">
        <f t="shared" si="17"/>
        <v>-</v>
      </c>
    </row>
    <row r="911" spans="1:6" s="7" customFormat="1" x14ac:dyDescent="0.2">
      <c r="A911" s="220">
        <v>84732</v>
      </c>
      <c r="B911" s="221" t="s">
        <v>79</v>
      </c>
      <c r="C911" s="222">
        <v>897</v>
      </c>
      <c r="D911" s="223"/>
      <c r="E911" s="223"/>
      <c r="F911" s="229" t="str">
        <f t="shared" si="17"/>
        <v>-</v>
      </c>
    </row>
    <row r="912" spans="1:6" s="7" customFormat="1" x14ac:dyDescent="0.2">
      <c r="A912" s="220">
        <v>84741</v>
      </c>
      <c r="B912" s="221" t="s">
        <v>974</v>
      </c>
      <c r="C912" s="222">
        <v>898</v>
      </c>
      <c r="D912" s="223"/>
      <c r="E912" s="223"/>
      <c r="F912" s="229" t="str">
        <f t="shared" si="17"/>
        <v>-</v>
      </c>
    </row>
    <row r="913" spans="1:6" s="7" customFormat="1" x14ac:dyDescent="0.2">
      <c r="A913" s="220">
        <v>84742</v>
      </c>
      <c r="B913" s="221" t="s">
        <v>975</v>
      </c>
      <c r="C913" s="222">
        <v>899</v>
      </c>
      <c r="D913" s="223"/>
      <c r="E913" s="223"/>
      <c r="F913" s="229" t="str">
        <f t="shared" si="17"/>
        <v>-</v>
      </c>
    </row>
    <row r="914" spans="1:6" s="7" customFormat="1" x14ac:dyDescent="0.2">
      <c r="A914" s="220">
        <v>84751</v>
      </c>
      <c r="B914" s="221" t="s">
        <v>3249</v>
      </c>
      <c r="C914" s="222">
        <v>900</v>
      </c>
      <c r="D914" s="223"/>
      <c r="E914" s="223"/>
      <c r="F914" s="229" t="str">
        <f t="shared" si="17"/>
        <v>-</v>
      </c>
    </row>
    <row r="915" spans="1:6" s="7" customFormat="1" x14ac:dyDescent="0.2">
      <c r="A915" s="220">
        <v>84752</v>
      </c>
      <c r="B915" s="221" t="s">
        <v>799</v>
      </c>
      <c r="C915" s="222">
        <v>901</v>
      </c>
      <c r="D915" s="223"/>
      <c r="E915" s="223"/>
      <c r="F915" s="229" t="str">
        <f t="shared" si="17"/>
        <v>-</v>
      </c>
    </row>
    <row r="916" spans="1:6" s="7" customFormat="1" x14ac:dyDescent="0.2">
      <c r="A916" s="220">
        <v>84761</v>
      </c>
      <c r="B916" s="362" t="s">
        <v>166</v>
      </c>
      <c r="C916" s="222">
        <v>902</v>
      </c>
      <c r="D916" s="223"/>
      <c r="E916" s="223"/>
      <c r="F916" s="229" t="str">
        <f t="shared" si="17"/>
        <v>-</v>
      </c>
    </row>
    <row r="917" spans="1:6" s="7" customFormat="1" x14ac:dyDescent="0.2">
      <c r="A917" s="220">
        <v>84762</v>
      </c>
      <c r="B917" s="362" t="s">
        <v>167</v>
      </c>
      <c r="C917" s="222">
        <v>903</v>
      </c>
      <c r="D917" s="223"/>
      <c r="E917" s="223"/>
      <c r="F917" s="229" t="str">
        <f t="shared" si="17"/>
        <v>-</v>
      </c>
    </row>
    <row r="918" spans="1:6" s="7" customFormat="1" ht="24" x14ac:dyDescent="0.2">
      <c r="A918" s="220" t="s">
        <v>168</v>
      </c>
      <c r="B918" s="221" t="s">
        <v>4163</v>
      </c>
      <c r="C918" s="222">
        <v>904</v>
      </c>
      <c r="D918" s="223"/>
      <c r="E918" s="223"/>
      <c r="F918" s="229" t="str">
        <f t="shared" si="17"/>
        <v>-</v>
      </c>
    </row>
    <row r="919" spans="1:6" s="7" customFormat="1" ht="24" x14ac:dyDescent="0.2">
      <c r="A919" s="220" t="s">
        <v>4164</v>
      </c>
      <c r="B919" s="221" t="s">
        <v>1983</v>
      </c>
      <c r="C919" s="222">
        <v>905</v>
      </c>
      <c r="D919" s="223"/>
      <c r="E919" s="223"/>
      <c r="F919" s="229" t="str">
        <f t="shared" si="17"/>
        <v>-</v>
      </c>
    </row>
    <row r="920" spans="1:6" s="7" customFormat="1" x14ac:dyDescent="0.2">
      <c r="A920" s="220">
        <v>85412</v>
      </c>
      <c r="B920" s="221" t="s">
        <v>800</v>
      </c>
      <c r="C920" s="222">
        <v>906</v>
      </c>
      <c r="D920" s="223"/>
      <c r="E920" s="223"/>
      <c r="F920" s="229" t="str">
        <f t="shared" si="17"/>
        <v>-</v>
      </c>
    </row>
    <row r="921" spans="1:6" s="7" customFormat="1" ht="24" x14ac:dyDescent="0.2">
      <c r="A921" s="220">
        <v>51212</v>
      </c>
      <c r="B921" s="221" t="s">
        <v>362</v>
      </c>
      <c r="C921" s="222">
        <v>907</v>
      </c>
      <c r="D921" s="223"/>
      <c r="E921" s="223"/>
      <c r="F921" s="229" t="str">
        <f t="shared" si="17"/>
        <v>-</v>
      </c>
    </row>
    <row r="922" spans="1:6" s="7" customFormat="1" x14ac:dyDescent="0.2">
      <c r="A922" s="220">
        <v>51322</v>
      </c>
      <c r="B922" s="221" t="s">
        <v>363</v>
      </c>
      <c r="C922" s="222">
        <v>908</v>
      </c>
      <c r="D922" s="223"/>
      <c r="E922" s="223"/>
      <c r="F922" s="229" t="str">
        <f t="shared" si="17"/>
        <v>-</v>
      </c>
    </row>
    <row r="923" spans="1:6" s="7" customFormat="1" x14ac:dyDescent="0.2">
      <c r="A923" s="220">
        <v>51332</v>
      </c>
      <c r="B923" s="221" t="s">
        <v>364</v>
      </c>
      <c r="C923" s="222">
        <v>909</v>
      </c>
      <c r="D923" s="223"/>
      <c r="E923" s="223"/>
      <c r="F923" s="229" t="str">
        <f t="shared" ref="F923:F972" si="18">IF(D923&lt;&gt;0,IF(E923/D923&gt;=100,"&gt;&gt;100",E923/D923*100),"-")</f>
        <v>-</v>
      </c>
    </row>
    <row r="924" spans="1:6" s="7" customFormat="1" x14ac:dyDescent="0.2">
      <c r="A924" s="220">
        <v>51342</v>
      </c>
      <c r="B924" s="221" t="s">
        <v>365</v>
      </c>
      <c r="C924" s="222">
        <v>910</v>
      </c>
      <c r="D924" s="223"/>
      <c r="E924" s="223"/>
      <c r="F924" s="229" t="str">
        <f t="shared" si="18"/>
        <v>-</v>
      </c>
    </row>
    <row r="925" spans="1:6" s="7" customFormat="1" x14ac:dyDescent="0.2">
      <c r="A925" s="220">
        <v>51411</v>
      </c>
      <c r="B925" s="221" t="s">
        <v>366</v>
      </c>
      <c r="C925" s="222">
        <v>911</v>
      </c>
      <c r="D925" s="223"/>
      <c r="E925" s="223"/>
      <c r="F925" s="229" t="str">
        <f t="shared" si="18"/>
        <v>-</v>
      </c>
    </row>
    <row r="926" spans="1:6" s="7" customFormat="1" x14ac:dyDescent="0.2">
      <c r="A926" s="220">
        <v>51412</v>
      </c>
      <c r="B926" s="221" t="s">
        <v>367</v>
      </c>
      <c r="C926" s="222">
        <v>912</v>
      </c>
      <c r="D926" s="223"/>
      <c r="E926" s="223"/>
      <c r="F926" s="229" t="str">
        <f t="shared" si="18"/>
        <v>-</v>
      </c>
    </row>
    <row r="927" spans="1:6" s="7" customFormat="1" x14ac:dyDescent="0.2">
      <c r="A927" s="220">
        <v>51532</v>
      </c>
      <c r="B927" s="221" t="s">
        <v>1455</v>
      </c>
      <c r="C927" s="222">
        <v>913</v>
      </c>
      <c r="D927" s="223"/>
      <c r="E927" s="223"/>
      <c r="F927" s="229" t="str">
        <f t="shared" si="18"/>
        <v>-</v>
      </c>
    </row>
    <row r="928" spans="1:6" s="7" customFormat="1" x14ac:dyDescent="0.2">
      <c r="A928" s="220">
        <v>51542</v>
      </c>
      <c r="B928" s="221" t="s">
        <v>1456</v>
      </c>
      <c r="C928" s="222">
        <v>914</v>
      </c>
      <c r="D928" s="223"/>
      <c r="E928" s="223"/>
      <c r="F928" s="229" t="str">
        <f t="shared" si="18"/>
        <v>-</v>
      </c>
    </row>
    <row r="929" spans="1:6" s="7" customFormat="1" x14ac:dyDescent="0.2">
      <c r="A929" s="220">
        <v>51552</v>
      </c>
      <c r="B929" s="362" t="s">
        <v>2694</v>
      </c>
      <c r="C929" s="222">
        <v>915</v>
      </c>
      <c r="D929" s="223"/>
      <c r="E929" s="223"/>
      <c r="F929" s="229" t="str">
        <f t="shared" si="18"/>
        <v>-</v>
      </c>
    </row>
    <row r="930" spans="1:6" s="7" customFormat="1" x14ac:dyDescent="0.2">
      <c r="A930" s="220">
        <v>51631</v>
      </c>
      <c r="B930" s="221" t="s">
        <v>2695</v>
      </c>
      <c r="C930" s="222">
        <v>916</v>
      </c>
      <c r="D930" s="223"/>
      <c r="E930" s="223"/>
      <c r="F930" s="229" t="str">
        <f t="shared" si="18"/>
        <v>-</v>
      </c>
    </row>
    <row r="931" spans="1:6" s="7" customFormat="1" x14ac:dyDescent="0.2">
      <c r="A931" s="220">
        <v>51632</v>
      </c>
      <c r="B931" s="221" t="s">
        <v>583</v>
      </c>
      <c r="C931" s="222">
        <v>917</v>
      </c>
      <c r="D931" s="223"/>
      <c r="E931" s="223"/>
      <c r="F931" s="229" t="str">
        <f t="shared" si="18"/>
        <v>-</v>
      </c>
    </row>
    <row r="932" spans="1:6" s="7" customFormat="1" x14ac:dyDescent="0.2">
      <c r="A932" s="220">
        <v>51641</v>
      </c>
      <c r="B932" s="221" t="s">
        <v>584</v>
      </c>
      <c r="C932" s="222">
        <v>918</v>
      </c>
      <c r="D932" s="223"/>
      <c r="E932" s="223"/>
      <c r="F932" s="229" t="str">
        <f t="shared" si="18"/>
        <v>-</v>
      </c>
    </row>
    <row r="933" spans="1:6" s="7" customFormat="1" x14ac:dyDescent="0.2">
      <c r="A933" s="220">
        <v>51642</v>
      </c>
      <c r="B933" s="221" t="s">
        <v>585</v>
      </c>
      <c r="C933" s="222">
        <v>919</v>
      </c>
      <c r="D933" s="223"/>
      <c r="E933" s="223"/>
      <c r="F933" s="229" t="str">
        <f t="shared" si="18"/>
        <v>-</v>
      </c>
    </row>
    <row r="934" spans="1:6" s="7" customFormat="1" x14ac:dyDescent="0.2">
      <c r="A934" s="220">
        <v>51711</v>
      </c>
      <c r="B934" s="221" t="s">
        <v>586</v>
      </c>
      <c r="C934" s="222">
        <v>920</v>
      </c>
      <c r="D934" s="223"/>
      <c r="E934" s="223"/>
      <c r="F934" s="229" t="str">
        <f t="shared" si="18"/>
        <v>-</v>
      </c>
    </row>
    <row r="935" spans="1:6" s="7" customFormat="1" x14ac:dyDescent="0.2">
      <c r="A935" s="220">
        <v>51712</v>
      </c>
      <c r="B935" s="221" t="s">
        <v>587</v>
      </c>
      <c r="C935" s="222">
        <v>921</v>
      </c>
      <c r="D935" s="223"/>
      <c r="E935" s="223"/>
      <c r="F935" s="229" t="str">
        <f t="shared" si="18"/>
        <v>-</v>
      </c>
    </row>
    <row r="936" spans="1:6" s="7" customFormat="1" x14ac:dyDescent="0.2">
      <c r="A936" s="220">
        <v>51721</v>
      </c>
      <c r="B936" s="221" t="s">
        <v>588</v>
      </c>
      <c r="C936" s="222">
        <v>922</v>
      </c>
      <c r="D936" s="223"/>
      <c r="E936" s="223"/>
      <c r="F936" s="229" t="str">
        <f t="shared" si="18"/>
        <v>-</v>
      </c>
    </row>
    <row r="937" spans="1:6" s="7" customFormat="1" x14ac:dyDescent="0.2">
      <c r="A937" s="220">
        <v>51722</v>
      </c>
      <c r="B937" s="221" t="s">
        <v>589</v>
      </c>
      <c r="C937" s="222">
        <v>923</v>
      </c>
      <c r="D937" s="223"/>
      <c r="E937" s="223"/>
      <c r="F937" s="229" t="str">
        <f t="shared" si="18"/>
        <v>-</v>
      </c>
    </row>
    <row r="938" spans="1:6" s="7" customFormat="1" x14ac:dyDescent="0.2">
      <c r="A938" s="220">
        <v>51731</v>
      </c>
      <c r="B938" s="221" t="s">
        <v>590</v>
      </c>
      <c r="C938" s="222">
        <v>924</v>
      </c>
      <c r="D938" s="223"/>
      <c r="E938" s="223"/>
      <c r="F938" s="229" t="str">
        <f t="shared" si="18"/>
        <v>-</v>
      </c>
    </row>
    <row r="939" spans="1:6" s="7" customFormat="1" x14ac:dyDescent="0.2">
      <c r="A939" s="220">
        <v>51732</v>
      </c>
      <c r="B939" s="221" t="s">
        <v>591</v>
      </c>
      <c r="C939" s="222">
        <v>925</v>
      </c>
      <c r="D939" s="223"/>
      <c r="E939" s="223"/>
      <c r="F939" s="229" t="str">
        <f t="shared" si="18"/>
        <v>-</v>
      </c>
    </row>
    <row r="940" spans="1:6" s="7" customFormat="1" x14ac:dyDescent="0.2">
      <c r="A940" s="220">
        <v>51741</v>
      </c>
      <c r="B940" s="221" t="s">
        <v>592</v>
      </c>
      <c r="C940" s="222">
        <v>926</v>
      </c>
      <c r="D940" s="223"/>
      <c r="E940" s="223"/>
      <c r="F940" s="229" t="str">
        <f t="shared" si="18"/>
        <v>-</v>
      </c>
    </row>
    <row r="941" spans="1:6" s="7" customFormat="1" x14ac:dyDescent="0.2">
      <c r="A941" s="220">
        <v>51742</v>
      </c>
      <c r="B941" s="221" t="s">
        <v>593</v>
      </c>
      <c r="C941" s="222">
        <v>927</v>
      </c>
      <c r="D941" s="223"/>
      <c r="E941" s="223"/>
      <c r="F941" s="229" t="str">
        <f t="shared" si="18"/>
        <v>-</v>
      </c>
    </row>
    <row r="942" spans="1:6" s="7" customFormat="1" x14ac:dyDescent="0.2">
      <c r="A942" s="220">
        <v>51751</v>
      </c>
      <c r="B942" s="221" t="s">
        <v>594</v>
      </c>
      <c r="C942" s="222">
        <v>928</v>
      </c>
      <c r="D942" s="223"/>
      <c r="E942" s="223"/>
      <c r="F942" s="229" t="str">
        <f t="shared" si="18"/>
        <v>-</v>
      </c>
    </row>
    <row r="943" spans="1:6" s="7" customFormat="1" x14ac:dyDescent="0.2">
      <c r="A943" s="220">
        <v>51752</v>
      </c>
      <c r="B943" s="221" t="s">
        <v>595</v>
      </c>
      <c r="C943" s="222">
        <v>929</v>
      </c>
      <c r="D943" s="223"/>
      <c r="E943" s="223"/>
      <c r="F943" s="229" t="str">
        <f t="shared" si="18"/>
        <v>-</v>
      </c>
    </row>
    <row r="944" spans="1:6" s="7" customFormat="1" x14ac:dyDescent="0.2">
      <c r="A944" s="220">
        <v>51761</v>
      </c>
      <c r="B944" s="221" t="s">
        <v>596</v>
      </c>
      <c r="C944" s="222">
        <v>930</v>
      </c>
      <c r="D944" s="223"/>
      <c r="E944" s="223"/>
      <c r="F944" s="229" t="str">
        <f t="shared" si="18"/>
        <v>-</v>
      </c>
    </row>
    <row r="945" spans="1:6" s="7" customFormat="1" x14ac:dyDescent="0.2">
      <c r="A945" s="220">
        <v>51762</v>
      </c>
      <c r="B945" s="221" t="s">
        <v>597</v>
      </c>
      <c r="C945" s="222">
        <v>931</v>
      </c>
      <c r="D945" s="223"/>
      <c r="E945" s="223"/>
      <c r="F945" s="229" t="str">
        <f t="shared" si="18"/>
        <v>-</v>
      </c>
    </row>
    <row r="946" spans="1:6" s="7" customFormat="1" ht="24" x14ac:dyDescent="0.2">
      <c r="A946" s="220">
        <v>51771</v>
      </c>
      <c r="B946" s="221" t="s">
        <v>598</v>
      </c>
      <c r="C946" s="222">
        <v>932</v>
      </c>
      <c r="D946" s="223"/>
      <c r="E946" s="223"/>
      <c r="F946" s="229" t="str">
        <f t="shared" si="18"/>
        <v>-</v>
      </c>
    </row>
    <row r="947" spans="1:6" s="7" customFormat="1" ht="24" x14ac:dyDescent="0.2">
      <c r="A947" s="220">
        <v>51772</v>
      </c>
      <c r="B947" s="221" t="s">
        <v>599</v>
      </c>
      <c r="C947" s="222">
        <v>933</v>
      </c>
      <c r="D947" s="223"/>
      <c r="E947" s="223"/>
      <c r="F947" s="229" t="str">
        <f t="shared" si="18"/>
        <v>-</v>
      </c>
    </row>
    <row r="948" spans="1:6" s="7" customFormat="1" x14ac:dyDescent="0.2">
      <c r="A948" s="220">
        <v>54132</v>
      </c>
      <c r="B948" s="221" t="s">
        <v>600</v>
      </c>
      <c r="C948" s="222">
        <v>934</v>
      </c>
      <c r="D948" s="223"/>
      <c r="E948" s="223"/>
      <c r="F948" s="229" t="str">
        <f t="shared" si="18"/>
        <v>-</v>
      </c>
    </row>
    <row r="949" spans="1:6" s="7" customFormat="1" x14ac:dyDescent="0.2">
      <c r="A949" s="220">
        <v>54142</v>
      </c>
      <c r="B949" s="221" t="s">
        <v>601</v>
      </c>
      <c r="C949" s="222">
        <v>935</v>
      </c>
      <c r="D949" s="223"/>
      <c r="E949" s="223"/>
      <c r="F949" s="229" t="str">
        <f t="shared" si="18"/>
        <v>-</v>
      </c>
    </row>
    <row r="950" spans="1:6" s="7" customFormat="1" x14ac:dyDescent="0.2">
      <c r="A950" s="220">
        <v>54152</v>
      </c>
      <c r="B950" s="221" t="s">
        <v>602</v>
      </c>
      <c r="C950" s="222">
        <v>936</v>
      </c>
      <c r="D950" s="223"/>
      <c r="E950" s="223"/>
      <c r="F950" s="229" t="str">
        <f t="shared" si="18"/>
        <v>-</v>
      </c>
    </row>
    <row r="951" spans="1:6" s="7" customFormat="1" x14ac:dyDescent="0.2">
      <c r="A951" s="220">
        <v>54162</v>
      </c>
      <c r="B951" s="221" t="s">
        <v>603</v>
      </c>
      <c r="C951" s="222">
        <v>937</v>
      </c>
      <c r="D951" s="223"/>
      <c r="E951" s="223"/>
      <c r="F951" s="229" t="str">
        <f t="shared" si="18"/>
        <v>-</v>
      </c>
    </row>
    <row r="952" spans="1:6" s="7" customFormat="1" x14ac:dyDescent="0.2">
      <c r="A952" s="220">
        <v>54221</v>
      </c>
      <c r="B952" s="362" t="s">
        <v>604</v>
      </c>
      <c r="C952" s="222">
        <v>938</v>
      </c>
      <c r="D952" s="223"/>
      <c r="E952" s="223"/>
      <c r="F952" s="229" t="str">
        <f t="shared" si="18"/>
        <v>-</v>
      </c>
    </row>
    <row r="953" spans="1:6" s="7" customFormat="1" x14ac:dyDescent="0.2">
      <c r="A953" s="220">
        <v>54222</v>
      </c>
      <c r="B953" s="221" t="s">
        <v>605</v>
      </c>
      <c r="C953" s="222">
        <v>939</v>
      </c>
      <c r="D953" s="223"/>
      <c r="E953" s="223"/>
      <c r="F953" s="229" t="str">
        <f t="shared" si="18"/>
        <v>-</v>
      </c>
    </row>
    <row r="954" spans="1:6" s="7" customFormat="1" x14ac:dyDescent="0.2">
      <c r="A954" s="220" t="s">
        <v>134</v>
      </c>
      <c r="B954" s="221" t="s">
        <v>135</v>
      </c>
      <c r="C954" s="222">
        <v>940</v>
      </c>
      <c r="D954" s="223"/>
      <c r="E954" s="223"/>
      <c r="F954" s="229" t="str">
        <f t="shared" si="18"/>
        <v>-</v>
      </c>
    </row>
    <row r="955" spans="1:6" s="7" customFormat="1" ht="24" x14ac:dyDescent="0.2">
      <c r="A955" s="220">
        <v>54232</v>
      </c>
      <c r="B955" s="221" t="s">
        <v>606</v>
      </c>
      <c r="C955" s="222">
        <v>941</v>
      </c>
      <c r="D955" s="223"/>
      <c r="E955" s="223"/>
      <c r="F955" s="229" t="str">
        <f t="shared" si="18"/>
        <v>-</v>
      </c>
    </row>
    <row r="956" spans="1:6" s="7" customFormat="1" ht="24" x14ac:dyDescent="0.2">
      <c r="A956" s="220">
        <v>54242</v>
      </c>
      <c r="B956" s="221" t="s">
        <v>607</v>
      </c>
      <c r="C956" s="222">
        <v>942</v>
      </c>
      <c r="D956" s="223"/>
      <c r="E956" s="223"/>
      <c r="F956" s="229" t="str">
        <f t="shared" si="18"/>
        <v>-</v>
      </c>
    </row>
    <row r="957" spans="1:6" s="7" customFormat="1" ht="24" x14ac:dyDescent="0.2">
      <c r="A957" s="220" t="s">
        <v>136</v>
      </c>
      <c r="B957" s="221" t="s">
        <v>3574</v>
      </c>
      <c r="C957" s="222">
        <v>943</v>
      </c>
      <c r="D957" s="223"/>
      <c r="E957" s="223"/>
      <c r="F957" s="229" t="str">
        <f t="shared" si="18"/>
        <v>-</v>
      </c>
    </row>
    <row r="958" spans="1:6" s="7" customFormat="1" x14ac:dyDescent="0.2">
      <c r="A958" s="220">
        <v>54312</v>
      </c>
      <c r="B958" s="362" t="s">
        <v>608</v>
      </c>
      <c r="C958" s="222">
        <v>944</v>
      </c>
      <c r="D958" s="223"/>
      <c r="E958" s="223"/>
      <c r="F958" s="229" t="str">
        <f t="shared" si="18"/>
        <v>-</v>
      </c>
    </row>
    <row r="959" spans="1:6" s="7" customFormat="1" ht="24" x14ac:dyDescent="0.2">
      <c r="A959" s="220">
        <v>54431</v>
      </c>
      <c r="B959" s="221" t="s">
        <v>609</v>
      </c>
      <c r="C959" s="222">
        <v>945</v>
      </c>
      <c r="D959" s="223"/>
      <c r="E959" s="223"/>
      <c r="F959" s="229" t="str">
        <f t="shared" si="18"/>
        <v>-</v>
      </c>
    </row>
    <row r="960" spans="1:6" s="7" customFormat="1" ht="24" x14ac:dyDescent="0.2">
      <c r="A960" s="220">
        <v>54432</v>
      </c>
      <c r="B960" s="221" t="s">
        <v>610</v>
      </c>
      <c r="C960" s="222">
        <v>946</v>
      </c>
      <c r="D960" s="223"/>
      <c r="E960" s="223"/>
      <c r="F960" s="229" t="str">
        <f t="shared" si="18"/>
        <v>-</v>
      </c>
    </row>
    <row r="961" spans="1:6" s="7" customFormat="1" ht="24" x14ac:dyDescent="0.2">
      <c r="A961" s="220" t="s">
        <v>3575</v>
      </c>
      <c r="B961" s="221" t="s">
        <v>3576</v>
      </c>
      <c r="C961" s="222">
        <v>947</v>
      </c>
      <c r="D961" s="223"/>
      <c r="E961" s="223"/>
      <c r="F961" s="229" t="str">
        <f t="shared" si="18"/>
        <v>-</v>
      </c>
    </row>
    <row r="962" spans="1:6" s="7" customFormat="1" ht="24" x14ac:dyDescent="0.2">
      <c r="A962" s="220">
        <v>54442</v>
      </c>
      <c r="B962" s="221" t="s">
        <v>611</v>
      </c>
      <c r="C962" s="222">
        <v>948</v>
      </c>
      <c r="D962" s="223"/>
      <c r="E962" s="223"/>
      <c r="F962" s="229" t="str">
        <f t="shared" si="18"/>
        <v>-</v>
      </c>
    </row>
    <row r="963" spans="1:6" s="7" customFormat="1" ht="24" x14ac:dyDescent="0.2">
      <c r="A963" s="220">
        <v>54452</v>
      </c>
      <c r="B963" s="221" t="s">
        <v>612</v>
      </c>
      <c r="C963" s="222">
        <v>949</v>
      </c>
      <c r="D963" s="223"/>
      <c r="E963" s="223"/>
      <c r="F963" s="229" t="str">
        <f t="shared" si="18"/>
        <v>-</v>
      </c>
    </row>
    <row r="964" spans="1:6" s="7" customFormat="1" ht="24" x14ac:dyDescent="0.2">
      <c r="A964" s="220" t="s">
        <v>3577</v>
      </c>
      <c r="B964" s="221" t="s">
        <v>3826</v>
      </c>
      <c r="C964" s="222">
        <v>950</v>
      </c>
      <c r="D964" s="223"/>
      <c r="E964" s="223"/>
      <c r="F964" s="229" t="str">
        <f t="shared" si="18"/>
        <v>-</v>
      </c>
    </row>
    <row r="965" spans="1:6" s="7" customFormat="1" x14ac:dyDescent="0.2">
      <c r="A965" s="220">
        <v>54461</v>
      </c>
      <c r="B965" s="221" t="s">
        <v>613</v>
      </c>
      <c r="C965" s="222">
        <v>951</v>
      </c>
      <c r="D965" s="223"/>
      <c r="E965" s="223"/>
      <c r="F965" s="229" t="str">
        <f t="shared" si="18"/>
        <v>-</v>
      </c>
    </row>
    <row r="966" spans="1:6" s="7" customFormat="1" x14ac:dyDescent="0.2">
      <c r="A966" s="220">
        <v>54462</v>
      </c>
      <c r="B966" s="221" t="s">
        <v>614</v>
      </c>
      <c r="C966" s="222">
        <v>952</v>
      </c>
      <c r="D966" s="223"/>
      <c r="E966" s="223"/>
      <c r="F966" s="229" t="str">
        <f t="shared" si="18"/>
        <v>-</v>
      </c>
    </row>
    <row r="967" spans="1:6" s="7" customFormat="1" x14ac:dyDescent="0.2">
      <c r="A967" s="220" t="s">
        <v>3827</v>
      </c>
      <c r="B967" s="221" t="s">
        <v>3828</v>
      </c>
      <c r="C967" s="222">
        <v>953</v>
      </c>
      <c r="D967" s="223"/>
      <c r="E967" s="223"/>
      <c r="F967" s="229" t="str">
        <f t="shared" si="18"/>
        <v>-</v>
      </c>
    </row>
    <row r="968" spans="1:6" s="7" customFormat="1" x14ac:dyDescent="0.2">
      <c r="A968" s="220">
        <v>54472</v>
      </c>
      <c r="B968" s="221" t="s">
        <v>615</v>
      </c>
      <c r="C968" s="222">
        <v>954</v>
      </c>
      <c r="D968" s="223"/>
      <c r="E968" s="223"/>
      <c r="F968" s="229" t="str">
        <f t="shared" si="18"/>
        <v>-</v>
      </c>
    </row>
    <row r="969" spans="1:6" s="7" customFormat="1" ht="24" x14ac:dyDescent="0.2">
      <c r="A969" s="220">
        <v>54482</v>
      </c>
      <c r="B969" s="221" t="s">
        <v>616</v>
      </c>
      <c r="C969" s="222">
        <v>955</v>
      </c>
      <c r="D969" s="223"/>
      <c r="E969" s="223"/>
      <c r="F969" s="229" t="str">
        <f t="shared" si="18"/>
        <v>-</v>
      </c>
    </row>
    <row r="970" spans="1:6" s="7" customFormat="1" ht="24" x14ac:dyDescent="0.2">
      <c r="A970" s="220" t="s">
        <v>3829</v>
      </c>
      <c r="B970" s="221" t="s">
        <v>2787</v>
      </c>
      <c r="C970" s="222">
        <v>956</v>
      </c>
      <c r="D970" s="223"/>
      <c r="E970" s="223"/>
      <c r="F970" s="229" t="str">
        <f t="shared" si="18"/>
        <v>-</v>
      </c>
    </row>
    <row r="971" spans="1:6" s="7" customFormat="1" ht="24" x14ac:dyDescent="0.2">
      <c r="A971" s="220">
        <v>54532</v>
      </c>
      <c r="B971" s="221" t="s">
        <v>617</v>
      </c>
      <c r="C971" s="222">
        <v>957</v>
      </c>
      <c r="D971" s="223"/>
      <c r="E971" s="223"/>
      <c r="F971" s="229" t="str">
        <f t="shared" si="18"/>
        <v>-</v>
      </c>
    </row>
    <row r="972" spans="1:6" s="7" customFormat="1" x14ac:dyDescent="0.2">
      <c r="A972" s="220">
        <v>54542</v>
      </c>
      <c r="B972" s="221" t="s">
        <v>618</v>
      </c>
      <c r="C972" s="222">
        <v>958</v>
      </c>
      <c r="D972" s="223"/>
      <c r="E972" s="223"/>
      <c r="F972" s="229" t="str">
        <f t="shared" si="18"/>
        <v>-</v>
      </c>
    </row>
    <row r="973" spans="1:6" s="7" customFormat="1" x14ac:dyDescent="0.2">
      <c r="A973" s="220">
        <v>54552</v>
      </c>
      <c r="B973" s="221" t="s">
        <v>619</v>
      </c>
      <c r="C973" s="222">
        <v>959</v>
      </c>
      <c r="D973" s="223"/>
      <c r="E973" s="223"/>
      <c r="F973" s="229" t="str">
        <f t="shared" ref="F973:F988" si="19">IF(D973&lt;&gt;0,IF(E973/D973&gt;=100,"&gt;&gt;100",E973/D973*100),"-")</f>
        <v>-</v>
      </c>
    </row>
    <row r="974" spans="1:6" s="7" customFormat="1" x14ac:dyDescent="0.2">
      <c r="A974" s="220">
        <v>54711</v>
      </c>
      <c r="B974" s="221" t="s">
        <v>620</v>
      </c>
      <c r="C974" s="222">
        <v>960</v>
      </c>
      <c r="D974" s="223"/>
      <c r="E974" s="223"/>
      <c r="F974" s="229" t="str">
        <f t="shared" si="19"/>
        <v>-</v>
      </c>
    </row>
    <row r="975" spans="1:6" s="7" customFormat="1" x14ac:dyDescent="0.2">
      <c r="A975" s="220">
        <v>54712</v>
      </c>
      <c r="B975" s="221" t="s">
        <v>621</v>
      </c>
      <c r="C975" s="222">
        <v>961</v>
      </c>
      <c r="D975" s="223"/>
      <c r="E975" s="223"/>
      <c r="F975" s="229" t="str">
        <f t="shared" si="19"/>
        <v>-</v>
      </c>
    </row>
    <row r="976" spans="1:6" s="7" customFormat="1" x14ac:dyDescent="0.2">
      <c r="A976" s="220">
        <v>54721</v>
      </c>
      <c r="B976" s="221" t="s">
        <v>622</v>
      </c>
      <c r="C976" s="222">
        <v>962</v>
      </c>
      <c r="D976" s="223"/>
      <c r="E976" s="223"/>
      <c r="F976" s="229" t="str">
        <f t="shared" si="19"/>
        <v>-</v>
      </c>
    </row>
    <row r="977" spans="1:6" s="7" customFormat="1" x14ac:dyDescent="0.2">
      <c r="A977" s="220">
        <v>54722</v>
      </c>
      <c r="B977" s="221" t="s">
        <v>623</v>
      </c>
      <c r="C977" s="222">
        <v>963</v>
      </c>
      <c r="D977" s="223"/>
      <c r="E977" s="223"/>
      <c r="F977" s="229" t="str">
        <f t="shared" si="19"/>
        <v>-</v>
      </c>
    </row>
    <row r="978" spans="1:6" s="7" customFormat="1" x14ac:dyDescent="0.2">
      <c r="A978" s="220">
        <v>54731</v>
      </c>
      <c r="B978" s="221" t="s">
        <v>624</v>
      </c>
      <c r="C978" s="222">
        <v>964</v>
      </c>
      <c r="D978" s="223"/>
      <c r="E978" s="223"/>
      <c r="F978" s="229" t="str">
        <f t="shared" si="19"/>
        <v>-</v>
      </c>
    </row>
    <row r="979" spans="1:6" s="7" customFormat="1" x14ac:dyDescent="0.2">
      <c r="A979" s="220">
        <v>54732</v>
      </c>
      <c r="B979" s="221" t="s">
        <v>712</v>
      </c>
      <c r="C979" s="222">
        <v>965</v>
      </c>
      <c r="D979" s="223"/>
      <c r="E979" s="223"/>
      <c r="F979" s="229" t="str">
        <f t="shared" si="19"/>
        <v>-</v>
      </c>
    </row>
    <row r="980" spans="1:6" s="7" customFormat="1" x14ac:dyDescent="0.2">
      <c r="A980" s="220">
        <v>54741</v>
      </c>
      <c r="B980" s="221" t="s">
        <v>713</v>
      </c>
      <c r="C980" s="222">
        <v>966</v>
      </c>
      <c r="D980" s="223"/>
      <c r="E980" s="223"/>
      <c r="F980" s="229" t="str">
        <f t="shared" si="19"/>
        <v>-</v>
      </c>
    </row>
    <row r="981" spans="1:6" s="7" customFormat="1" x14ac:dyDescent="0.2">
      <c r="A981" s="220">
        <v>54742</v>
      </c>
      <c r="B981" s="221" t="s">
        <v>714</v>
      </c>
      <c r="C981" s="222">
        <v>967</v>
      </c>
      <c r="D981" s="223"/>
      <c r="E981" s="223"/>
      <c r="F981" s="229" t="str">
        <f t="shared" si="19"/>
        <v>-</v>
      </c>
    </row>
    <row r="982" spans="1:6" s="7" customFormat="1" x14ac:dyDescent="0.2">
      <c r="A982" s="220">
        <v>54751</v>
      </c>
      <c r="B982" s="221" t="s">
        <v>715</v>
      </c>
      <c r="C982" s="222">
        <v>968</v>
      </c>
      <c r="D982" s="223"/>
      <c r="E982" s="223"/>
      <c r="F982" s="229" t="str">
        <f t="shared" si="19"/>
        <v>-</v>
      </c>
    </row>
    <row r="983" spans="1:6" s="7" customFormat="1" x14ac:dyDescent="0.2">
      <c r="A983" s="220">
        <v>54752</v>
      </c>
      <c r="B983" s="221" t="s">
        <v>716</v>
      </c>
      <c r="C983" s="222">
        <v>969</v>
      </c>
      <c r="D983" s="223"/>
      <c r="E983" s="223"/>
      <c r="F983" s="229" t="str">
        <f t="shared" si="19"/>
        <v>-</v>
      </c>
    </row>
    <row r="984" spans="1:6" s="7" customFormat="1" ht="24" x14ac:dyDescent="0.2">
      <c r="A984" s="220">
        <v>54761</v>
      </c>
      <c r="B984" s="221" t="s">
        <v>717</v>
      </c>
      <c r="C984" s="222">
        <v>970</v>
      </c>
      <c r="D984" s="223"/>
      <c r="E984" s="223"/>
      <c r="F984" s="229" t="str">
        <f t="shared" si="19"/>
        <v>-</v>
      </c>
    </row>
    <row r="985" spans="1:6" s="7" customFormat="1" ht="24" x14ac:dyDescent="0.2">
      <c r="A985" s="220">
        <v>54762</v>
      </c>
      <c r="B985" s="221" t="s">
        <v>718</v>
      </c>
      <c r="C985" s="222">
        <v>971</v>
      </c>
      <c r="D985" s="223"/>
      <c r="E985" s="223"/>
      <c r="F985" s="229" t="str">
        <f t="shared" si="19"/>
        <v>-</v>
      </c>
    </row>
    <row r="986" spans="1:6" s="7" customFormat="1" ht="24" x14ac:dyDescent="0.2">
      <c r="A986" s="220">
        <v>54771</v>
      </c>
      <c r="B986" s="221" t="s">
        <v>719</v>
      </c>
      <c r="C986" s="222">
        <v>972</v>
      </c>
      <c r="D986" s="223"/>
      <c r="E986" s="223"/>
      <c r="F986" s="229" t="str">
        <f t="shared" si="19"/>
        <v>-</v>
      </c>
    </row>
    <row r="987" spans="1:6" s="7" customFormat="1" ht="24" x14ac:dyDescent="0.2">
      <c r="A987" s="220">
        <v>54772</v>
      </c>
      <c r="B987" s="221" t="s">
        <v>720</v>
      </c>
      <c r="C987" s="222">
        <v>973</v>
      </c>
      <c r="D987" s="223"/>
      <c r="E987" s="223"/>
      <c r="F987" s="229" t="str">
        <f t="shared" si="19"/>
        <v>-</v>
      </c>
    </row>
    <row r="988" spans="1:6" s="7" customFormat="1" x14ac:dyDescent="0.2">
      <c r="A988" s="225">
        <v>55312</v>
      </c>
      <c r="B988" s="226" t="s">
        <v>721</v>
      </c>
      <c r="C988" s="227">
        <v>974</v>
      </c>
      <c r="D988" s="228"/>
      <c r="E988" s="228"/>
      <c r="F988" s="232" t="str">
        <f t="shared" si="19"/>
        <v>-</v>
      </c>
    </row>
    <row r="989" spans="1:6" s="7" customFormat="1" ht="33.75" x14ac:dyDescent="0.2">
      <c r="A989" s="264" t="s">
        <v>3922</v>
      </c>
      <c r="B989" s="265" t="s">
        <v>2204</v>
      </c>
      <c r="C989" s="266"/>
      <c r="D989" s="267" t="s">
        <v>723</v>
      </c>
      <c r="E989" s="267" t="s">
        <v>3560</v>
      </c>
      <c r="F989" s="268" t="s">
        <v>3409</v>
      </c>
    </row>
    <row r="990" spans="1:6" s="7" customFormat="1" x14ac:dyDescent="0.2">
      <c r="A990" s="363">
        <v>1</v>
      </c>
      <c r="B990" s="364">
        <v>2</v>
      </c>
      <c r="C990" s="365">
        <v>3</v>
      </c>
      <c r="D990" s="366">
        <v>4</v>
      </c>
      <c r="E990" s="366">
        <v>5</v>
      </c>
      <c r="F990" s="367">
        <v>6</v>
      </c>
    </row>
    <row r="991" spans="1:6" s="7" customFormat="1" ht="15" x14ac:dyDescent="0.2">
      <c r="A991" s="450" t="s">
        <v>397</v>
      </c>
      <c r="B991" s="451"/>
      <c r="C991" s="288"/>
      <c r="D991" s="288"/>
      <c r="E991" s="289"/>
      <c r="F991" s="290"/>
    </row>
    <row r="992" spans="1:6" s="7" customFormat="1" ht="26.25" customHeight="1" x14ac:dyDescent="0.2">
      <c r="A992" s="287" t="s">
        <v>398</v>
      </c>
      <c r="B992" s="280" t="s">
        <v>1756</v>
      </c>
      <c r="C992" s="281">
        <v>975</v>
      </c>
      <c r="D992" s="282"/>
      <c r="E992" s="282"/>
      <c r="F992" s="283" t="str">
        <f t="shared" ref="F992:F999" si="20">IF(D992&lt;&gt;0,IF(E992/D992&gt;=100,"&gt;&gt;100",E992/D992*100),"-")</f>
        <v>-</v>
      </c>
    </row>
    <row r="993" spans="1:6" s="7" customFormat="1" x14ac:dyDescent="0.2">
      <c r="A993" s="220" t="s">
        <v>3196</v>
      </c>
      <c r="B993" s="221" t="s">
        <v>3197</v>
      </c>
      <c r="C993" s="222">
        <v>976</v>
      </c>
      <c r="D993" s="223"/>
      <c r="E993" s="223"/>
      <c r="F993" s="229" t="str">
        <f t="shared" si="20"/>
        <v>-</v>
      </c>
    </row>
    <row r="994" spans="1:6" s="7" customFormat="1" ht="24" x14ac:dyDescent="0.2">
      <c r="A994" s="220" t="s">
        <v>2711</v>
      </c>
      <c r="B994" s="221" t="s">
        <v>2712</v>
      </c>
      <c r="C994" s="222">
        <v>977</v>
      </c>
      <c r="D994" s="223"/>
      <c r="E994" s="223"/>
      <c r="F994" s="229" t="str">
        <f t="shared" si="20"/>
        <v>-</v>
      </c>
    </row>
    <row r="995" spans="1:6" s="7" customFormat="1" ht="24" x14ac:dyDescent="0.2">
      <c r="A995" s="220">
        <v>26454</v>
      </c>
      <c r="B995" s="221" t="s">
        <v>2713</v>
      </c>
      <c r="C995" s="222">
        <v>978</v>
      </c>
      <c r="D995" s="223"/>
      <c r="E995" s="223"/>
      <c r="F995" s="229" t="str">
        <f t="shared" si="20"/>
        <v>-</v>
      </c>
    </row>
    <row r="996" spans="1:6" s="7" customFormat="1" x14ac:dyDescent="0.2">
      <c r="A996" s="220" t="s">
        <v>2714</v>
      </c>
      <c r="B996" s="221" t="s">
        <v>2715</v>
      </c>
      <c r="C996" s="222">
        <v>979</v>
      </c>
      <c r="D996" s="223"/>
      <c r="E996" s="223"/>
      <c r="F996" s="229" t="str">
        <f t="shared" si="20"/>
        <v>-</v>
      </c>
    </row>
    <row r="997" spans="1:6" s="7" customFormat="1" ht="39" x14ac:dyDescent="0.2">
      <c r="A997" s="224" t="s">
        <v>1757</v>
      </c>
      <c r="B997" s="221" t="s">
        <v>1758</v>
      </c>
      <c r="C997" s="222">
        <v>980</v>
      </c>
      <c r="D997" s="223"/>
      <c r="E997" s="223"/>
      <c r="F997" s="229" t="str">
        <f t="shared" si="20"/>
        <v>-</v>
      </c>
    </row>
    <row r="998" spans="1:6" s="7" customFormat="1" x14ac:dyDescent="0.2">
      <c r="A998" s="220" t="s">
        <v>1495</v>
      </c>
      <c r="B998" s="221" t="s">
        <v>1496</v>
      </c>
      <c r="C998" s="222">
        <v>981</v>
      </c>
      <c r="D998" s="223"/>
      <c r="E998" s="223"/>
      <c r="F998" s="229" t="str">
        <f t="shared" si="20"/>
        <v>-</v>
      </c>
    </row>
    <row r="999" spans="1:6" s="7" customFormat="1" x14ac:dyDescent="0.2">
      <c r="A999" s="225">
        <v>26534</v>
      </c>
      <c r="B999" s="226" t="s">
        <v>1498</v>
      </c>
      <c r="C999" s="227">
        <v>982</v>
      </c>
      <c r="D999" s="228"/>
      <c r="E999" s="228"/>
      <c r="F999" s="232" t="str">
        <f t="shared" si="20"/>
        <v>-</v>
      </c>
    </row>
    <row r="1000" spans="1:6" x14ac:dyDescent="0.2"/>
    <row r="1001" spans="1:6" ht="25.5" customHeight="1" x14ac:dyDescent="0.2">
      <c r="A1001" s="178" t="str">
        <f>RefStr!A65</f>
        <v>U ___________________________________ dana _________________ 20____ godine.</v>
      </c>
      <c r="D1001" s="452" t="s">
        <v>2209</v>
      </c>
      <c r="E1001" s="452"/>
    </row>
    <row r="1002" spans="1:6" ht="15" customHeight="1" x14ac:dyDescent="0.2">
      <c r="A1002" s="178" t="str">
        <f>IF(RefStr!H25&lt;&gt;"", "Osoba za kontaktiranje: " &amp; RefStr!H25,"Osoba za kontaktiranje: _________________________________________")</f>
        <v>Osoba za kontaktiranje: Željka Bosorić Baruškin</v>
      </c>
      <c r="D1002" s="180"/>
      <c r="E1002" s="180"/>
    </row>
    <row r="1003" spans="1:6" ht="15" customHeight="1" x14ac:dyDescent="0.2">
      <c r="A1003" s="178" t="str">
        <f>IF(RefStr!H27="","Telefon za kontakt: _________________","Telefon za kontakt: " &amp; RefStr!H27)</f>
        <v>Telefon za kontakt: 048210007</v>
      </c>
      <c r="C1003" s="179"/>
    </row>
    <row r="1004" spans="1:6" ht="15" customHeight="1" x14ac:dyDescent="0.2">
      <c r="A1004" s="178" t="str">
        <f>IF(RefStr!H33="","Odgovorna osoba: _____________________________","Odgovorna osoba: " &amp; RefStr!H33)</f>
        <v>Odgovorna osoba: Vjekoslav Maletić</v>
      </c>
    </row>
    <row r="1005" spans="1:6" ht="5.0999999999999996" customHeight="1" x14ac:dyDescent="0.2">
      <c r="D1005" s="179"/>
    </row>
  </sheetData>
  <sheetProtection password="C79A" sheet="1" objects="1" scenarios="1"/>
  <mergeCells count="17">
    <mergeCell ref="B6:F6"/>
    <mergeCell ref="B7:F7"/>
    <mergeCell ref="A991:B991"/>
    <mergeCell ref="B5:D5"/>
    <mergeCell ref="D1001:E1001"/>
    <mergeCell ref="A11:B11"/>
    <mergeCell ref="A303:B303"/>
    <mergeCell ref="A425:B425"/>
    <mergeCell ref="A654:B654"/>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78" activePane="bottomLeft" state="frozen"/>
      <selection pane="bottomLeft" activeCell="B290" sqref="B290"/>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38" t="s">
        <v>3609</v>
      </c>
      <c r="B1" s="439"/>
      <c r="C1" s="455"/>
      <c r="D1" s="455"/>
      <c r="E1" s="455"/>
      <c r="F1" s="455"/>
    </row>
    <row r="2" spans="1:6" ht="39.950000000000003" customHeight="1" thickBot="1" x14ac:dyDescent="0.25">
      <c r="A2" s="458" t="s">
        <v>3412</v>
      </c>
      <c r="B2" s="458"/>
      <c r="C2" s="458"/>
      <c r="D2" s="459"/>
      <c r="E2" s="456" t="s">
        <v>1086</v>
      </c>
      <c r="F2" s="457"/>
    </row>
    <row r="3" spans="1:6" s="173" customFormat="1" ht="30" customHeight="1" x14ac:dyDescent="0.2">
      <c r="A3" s="460" t="str">
        <f>"na dan "&amp;IF(RefStr!K10="","________________",TEXT(RefStr!K12,"d. mmmm yyyy."))</f>
        <v>na dan 30. rujan 2021.</v>
      </c>
      <c r="B3" s="460"/>
      <c r="C3" s="460"/>
      <c r="D3" s="460"/>
      <c r="E3" s="19"/>
      <c r="F3" s="19"/>
    </row>
    <row r="4" spans="1:6" ht="15" customHeight="1" x14ac:dyDescent="0.2">
      <c r="A4" s="32" t="s">
        <v>1094</v>
      </c>
      <c r="B4" s="446" t="str">
        <f>"RKP: "&amp;IF(RefStr!B6&lt;&gt;"",TEXT(INT(VALUE(RefStr!B6)),"00000"),"_____"&amp;",  "&amp;"MB: "&amp;IF(RefStr!B8&lt;&gt;"",TEXT(INT(VALUE(RefStr!B8)),"00000000"),"________")&amp;"  OIB: "&amp;IF(RefStr!K14&lt;&gt;"",RefStr!K14,"___________"))</f>
        <v>RKP: 27861</v>
      </c>
      <c r="C4" s="447"/>
      <c r="D4" s="447"/>
      <c r="E4" s="433">
        <f>SUM(Skriveni!G984:G1298)</f>
        <v>0</v>
      </c>
      <c r="F4" s="434"/>
    </row>
    <row r="5" spans="1:6" ht="15" customHeight="1" x14ac:dyDescent="0.2">
      <c r="B5" s="446" t="str">
        <f>"Naziv: "&amp;IF(RefStr!B10&lt;&gt;"",RefStr!B10,"_______________________________________")</f>
        <v xml:space="preserve">Naziv: OPĆINA FERDINANDOVAC </v>
      </c>
      <c r="C5" s="447"/>
      <c r="D5" s="447"/>
      <c r="E5" s="435" t="s">
        <v>259</v>
      </c>
      <c r="F5" s="435"/>
    </row>
    <row r="6" spans="1:6" ht="15" customHeight="1" x14ac:dyDescent="0.2">
      <c r="A6" s="20"/>
      <c r="B6" s="448" t="str">
        <f xml:space="preserve"> "Razina: " &amp; RefStr!B16 &amp; ", Razdjel: " &amp; TEXT(INT(VALUE(RefStr!B20)), "000")</f>
        <v>Razina: 22, Razdjel: 000</v>
      </c>
      <c r="C6" s="449"/>
      <c r="D6" s="449"/>
      <c r="E6" s="449"/>
      <c r="F6" s="449"/>
    </row>
    <row r="7" spans="1:6" ht="15" customHeight="1" x14ac:dyDescent="0.2">
      <c r="A7" s="20"/>
      <c r="B7" s="448" t="str">
        <f>"Djelatnost: " &amp; RefStr!B18 &amp; " " &amp; RefStr!C18</f>
        <v>Djelatnost: 8411 Opće djelatnosti javne uprave</v>
      </c>
      <c r="C7" s="449"/>
      <c r="D7" s="449"/>
      <c r="E7" s="449"/>
      <c r="F7" s="449"/>
    </row>
    <row r="8" spans="1:6" ht="5.0999999999999996" customHeight="1" x14ac:dyDescent="0.2"/>
    <row r="9" spans="1:6" ht="12.95" customHeight="1" x14ac:dyDescent="0.2">
      <c r="A9" s="21"/>
      <c r="C9" s="214"/>
      <c r="D9" s="199"/>
      <c r="F9" s="175" t="s">
        <v>804</v>
      </c>
    </row>
    <row r="10" spans="1:6" ht="24.95" customHeight="1" x14ac:dyDescent="0.2">
      <c r="A10" s="158" t="s">
        <v>3922</v>
      </c>
      <c r="B10" s="154" t="s">
        <v>2993</v>
      </c>
      <c r="C10" s="196" t="s">
        <v>2203</v>
      </c>
      <c r="D10" s="196" t="s">
        <v>1402</v>
      </c>
      <c r="E10" s="196" t="s">
        <v>1403</v>
      </c>
      <c r="F10" s="183" t="s">
        <v>3409</v>
      </c>
    </row>
    <row r="11" spans="1:6" ht="12" customHeight="1" x14ac:dyDescent="0.2">
      <c r="A11" s="159">
        <v>1</v>
      </c>
      <c r="B11" s="155">
        <v>2</v>
      </c>
      <c r="C11" s="155"/>
      <c r="D11" s="155">
        <v>4</v>
      </c>
      <c r="E11" s="197">
        <v>5</v>
      </c>
      <c r="F11" s="184">
        <v>6</v>
      </c>
    </row>
    <row r="12" spans="1:6" s="2" customFormat="1" x14ac:dyDescent="0.2">
      <c r="A12" s="249"/>
      <c r="B12" s="250" t="s">
        <v>3429</v>
      </c>
      <c r="C12" s="251">
        <v>1</v>
      </c>
      <c r="D12" s="252">
        <f>D13+D74</f>
        <v>0</v>
      </c>
      <c r="E12" s="252">
        <f>E13+E74</f>
        <v>0</v>
      </c>
      <c r="F12" s="253" t="str">
        <f t="shared" ref="F12:F75" si="0">IF(D12&gt;0,IF(E12/D12&gt;=100,"&gt;&gt;100",E12/D12*100),"-")</f>
        <v>-</v>
      </c>
    </row>
    <row r="13" spans="1:6" s="2" customFormat="1" x14ac:dyDescent="0.2">
      <c r="A13" s="254">
        <v>0</v>
      </c>
      <c r="B13" s="239" t="s">
        <v>3430</v>
      </c>
      <c r="C13" s="255">
        <v>2</v>
      </c>
      <c r="D13" s="256">
        <f>D14+D18+D57+D58+D62+D69</f>
        <v>0</v>
      </c>
      <c r="E13" s="256">
        <f>E14+E18+E57+E58+E62+E69</f>
        <v>0</v>
      </c>
      <c r="F13" s="257" t="str">
        <f t="shared" si="0"/>
        <v>-</v>
      </c>
    </row>
    <row r="14" spans="1:6" s="2" customFormat="1" x14ac:dyDescent="0.2">
      <c r="A14" s="254" t="s">
        <v>1565</v>
      </c>
      <c r="B14" s="239" t="s">
        <v>1936</v>
      </c>
      <c r="C14" s="255">
        <v>3</v>
      </c>
      <c r="D14" s="256">
        <f>D15+D16-D17</f>
        <v>0</v>
      </c>
      <c r="E14" s="256">
        <f>E15+E16-E17</f>
        <v>0</v>
      </c>
      <c r="F14" s="257" t="str">
        <f t="shared" si="0"/>
        <v>-</v>
      </c>
    </row>
    <row r="15" spans="1:6" s="2" customFormat="1" x14ac:dyDescent="0.2">
      <c r="A15" s="254" t="s">
        <v>1937</v>
      </c>
      <c r="B15" s="239" t="s">
        <v>1938</v>
      </c>
      <c r="C15" s="255">
        <v>4</v>
      </c>
      <c r="D15" s="241"/>
      <c r="E15" s="241"/>
      <c r="F15" s="242" t="str">
        <f t="shared" si="0"/>
        <v>-</v>
      </c>
    </row>
    <row r="16" spans="1:6" s="2" customFormat="1" x14ac:dyDescent="0.2">
      <c r="A16" s="254" t="s">
        <v>1939</v>
      </c>
      <c r="B16" s="239" t="s">
        <v>1682</v>
      </c>
      <c r="C16" s="255">
        <v>5</v>
      </c>
      <c r="D16" s="241"/>
      <c r="E16" s="241"/>
      <c r="F16" s="242" t="str">
        <f t="shared" si="0"/>
        <v>-</v>
      </c>
    </row>
    <row r="17" spans="1:6" s="2" customFormat="1" x14ac:dyDescent="0.2">
      <c r="A17" s="254" t="s">
        <v>1683</v>
      </c>
      <c r="B17" s="239" t="s">
        <v>1684</v>
      </c>
      <c r="C17" s="255">
        <v>6</v>
      </c>
      <c r="D17" s="241"/>
      <c r="E17" s="241"/>
      <c r="F17" s="242" t="str">
        <f t="shared" si="0"/>
        <v>-</v>
      </c>
    </row>
    <row r="18" spans="1:6" s="2" customFormat="1" x14ac:dyDescent="0.2">
      <c r="A18" s="254" t="s">
        <v>1685</v>
      </c>
      <c r="B18" s="239" t="s">
        <v>3431</v>
      </c>
      <c r="C18" s="255">
        <v>7</v>
      </c>
      <c r="D18" s="256">
        <f>D19+D25+D35+D41+D47+D51</f>
        <v>0</v>
      </c>
      <c r="E18" s="256">
        <f>E19+E25+E35+E41+E47+E51</f>
        <v>0</v>
      </c>
      <c r="F18" s="257" t="str">
        <f t="shared" si="0"/>
        <v>-</v>
      </c>
    </row>
    <row r="19" spans="1:6" s="2" customFormat="1" x14ac:dyDescent="0.2">
      <c r="A19" s="258" t="s">
        <v>1686</v>
      </c>
      <c r="B19" s="239" t="s">
        <v>2362</v>
      </c>
      <c r="C19" s="255">
        <v>8</v>
      </c>
      <c r="D19" s="256">
        <f>SUM(D20:D23)-D24</f>
        <v>0</v>
      </c>
      <c r="E19" s="256">
        <f>SUM(E20:E23)-E24</f>
        <v>0</v>
      </c>
      <c r="F19" s="257" t="str">
        <f t="shared" si="0"/>
        <v>-</v>
      </c>
    </row>
    <row r="20" spans="1:6" s="2" customFormat="1" x14ac:dyDescent="0.2">
      <c r="A20" s="254" t="s">
        <v>1687</v>
      </c>
      <c r="B20" s="239" t="s">
        <v>1706</v>
      </c>
      <c r="C20" s="255">
        <v>9</v>
      </c>
      <c r="D20" s="241"/>
      <c r="E20" s="241"/>
      <c r="F20" s="242" t="str">
        <f t="shared" si="0"/>
        <v>-</v>
      </c>
    </row>
    <row r="21" spans="1:6" s="2" customFormat="1" x14ac:dyDescent="0.2">
      <c r="A21" s="254" t="s">
        <v>1688</v>
      </c>
      <c r="B21" s="239" t="s">
        <v>1707</v>
      </c>
      <c r="C21" s="255">
        <v>10</v>
      </c>
      <c r="D21" s="241"/>
      <c r="E21" s="241"/>
      <c r="F21" s="242" t="str">
        <f t="shared" si="0"/>
        <v>-</v>
      </c>
    </row>
    <row r="22" spans="1:6" s="2" customFormat="1" x14ac:dyDescent="0.2">
      <c r="A22" s="254" t="s">
        <v>1689</v>
      </c>
      <c r="B22" s="239" t="s">
        <v>816</v>
      </c>
      <c r="C22" s="255">
        <v>11</v>
      </c>
      <c r="D22" s="241"/>
      <c r="E22" s="241"/>
      <c r="F22" s="242" t="str">
        <f t="shared" si="0"/>
        <v>-</v>
      </c>
    </row>
    <row r="23" spans="1:6" s="2" customFormat="1" x14ac:dyDescent="0.2">
      <c r="A23" s="254" t="s">
        <v>1690</v>
      </c>
      <c r="B23" s="239" t="s">
        <v>1708</v>
      </c>
      <c r="C23" s="255">
        <v>12</v>
      </c>
      <c r="D23" s="241"/>
      <c r="E23" s="241"/>
      <c r="F23" s="242" t="str">
        <f t="shared" si="0"/>
        <v>-</v>
      </c>
    </row>
    <row r="24" spans="1:6" s="2" customFormat="1" x14ac:dyDescent="0.2">
      <c r="A24" s="254" t="s">
        <v>1691</v>
      </c>
      <c r="B24" s="239" t="s">
        <v>1967</v>
      </c>
      <c r="C24" s="255">
        <v>13</v>
      </c>
      <c r="D24" s="241"/>
      <c r="E24" s="241"/>
      <c r="F24" s="242" t="str">
        <f t="shared" si="0"/>
        <v>-</v>
      </c>
    </row>
    <row r="25" spans="1:6" s="2" customFormat="1" x14ac:dyDescent="0.2">
      <c r="A25" s="258" t="s">
        <v>1968</v>
      </c>
      <c r="B25" s="239" t="s">
        <v>3354</v>
      </c>
      <c r="C25" s="255">
        <v>14</v>
      </c>
      <c r="D25" s="256">
        <f>SUM(D26:D33)-D34</f>
        <v>0</v>
      </c>
      <c r="E25" s="256">
        <f>SUM(E26:E33)-E34</f>
        <v>0</v>
      </c>
      <c r="F25" s="257" t="str">
        <f t="shared" si="0"/>
        <v>-</v>
      </c>
    </row>
    <row r="26" spans="1:6" s="2" customFormat="1" x14ac:dyDescent="0.2">
      <c r="A26" s="254" t="s">
        <v>1969</v>
      </c>
      <c r="B26" s="239" t="s">
        <v>2375</v>
      </c>
      <c r="C26" s="255">
        <v>15</v>
      </c>
      <c r="D26" s="241"/>
      <c r="E26" s="241"/>
      <c r="F26" s="242" t="str">
        <f t="shared" si="0"/>
        <v>-</v>
      </c>
    </row>
    <row r="27" spans="1:6" s="2" customFormat="1" x14ac:dyDescent="0.2">
      <c r="A27" s="254" t="s">
        <v>1970</v>
      </c>
      <c r="B27" s="239" t="s">
        <v>2398</v>
      </c>
      <c r="C27" s="255">
        <v>16</v>
      </c>
      <c r="D27" s="241"/>
      <c r="E27" s="241"/>
      <c r="F27" s="242" t="str">
        <f t="shared" si="0"/>
        <v>-</v>
      </c>
    </row>
    <row r="28" spans="1:6" s="2" customFormat="1" x14ac:dyDescent="0.2">
      <c r="A28" s="254" t="s">
        <v>1971</v>
      </c>
      <c r="B28" s="239" t="s">
        <v>2377</v>
      </c>
      <c r="C28" s="255">
        <v>17</v>
      </c>
      <c r="D28" s="241"/>
      <c r="E28" s="241"/>
      <c r="F28" s="242" t="str">
        <f t="shared" si="0"/>
        <v>-</v>
      </c>
    </row>
    <row r="29" spans="1:6" s="2" customFormat="1" x14ac:dyDescent="0.2">
      <c r="A29" s="254" t="s">
        <v>1972</v>
      </c>
      <c r="B29" s="239" t="s">
        <v>2378</v>
      </c>
      <c r="C29" s="255">
        <v>18</v>
      </c>
      <c r="D29" s="241"/>
      <c r="E29" s="241"/>
      <c r="F29" s="242" t="str">
        <f t="shared" si="0"/>
        <v>-</v>
      </c>
    </row>
    <row r="30" spans="1:6" s="2" customFormat="1" x14ac:dyDescent="0.2">
      <c r="A30" s="254" t="s">
        <v>934</v>
      </c>
      <c r="B30" s="239" t="s">
        <v>235</v>
      </c>
      <c r="C30" s="255">
        <v>19</v>
      </c>
      <c r="D30" s="241"/>
      <c r="E30" s="241"/>
      <c r="F30" s="242" t="str">
        <f t="shared" si="0"/>
        <v>-</v>
      </c>
    </row>
    <row r="31" spans="1:6" s="2" customFormat="1" x14ac:dyDescent="0.2">
      <c r="A31" s="238" t="s">
        <v>236</v>
      </c>
      <c r="B31" s="239" t="s">
        <v>2380</v>
      </c>
      <c r="C31" s="255">
        <v>20</v>
      </c>
      <c r="D31" s="241"/>
      <c r="E31" s="241"/>
      <c r="F31" s="242" t="str">
        <f t="shared" si="0"/>
        <v>-</v>
      </c>
    </row>
    <row r="32" spans="1:6" s="2" customFormat="1" x14ac:dyDescent="0.2">
      <c r="A32" s="238" t="s">
        <v>237</v>
      </c>
      <c r="B32" s="239" t="s">
        <v>2381</v>
      </c>
      <c r="C32" s="255">
        <v>21</v>
      </c>
      <c r="D32" s="241"/>
      <c r="E32" s="241"/>
      <c r="F32" s="242" t="str">
        <f t="shared" si="0"/>
        <v>-</v>
      </c>
    </row>
    <row r="33" spans="1:6" s="2" customFormat="1" x14ac:dyDescent="0.2">
      <c r="A33" s="238" t="s">
        <v>514</v>
      </c>
      <c r="B33" s="239" t="s">
        <v>4010</v>
      </c>
      <c r="C33" s="255">
        <v>22</v>
      </c>
      <c r="D33" s="241"/>
      <c r="E33" s="241"/>
      <c r="F33" s="242" t="str">
        <f t="shared" si="0"/>
        <v>-</v>
      </c>
    </row>
    <row r="34" spans="1:6" s="2" customFormat="1" x14ac:dyDescent="0.2">
      <c r="A34" s="238" t="s">
        <v>238</v>
      </c>
      <c r="B34" s="239" t="s">
        <v>239</v>
      </c>
      <c r="C34" s="255">
        <v>23</v>
      </c>
      <c r="D34" s="241"/>
      <c r="E34" s="241"/>
      <c r="F34" s="242" t="str">
        <f t="shared" si="0"/>
        <v>-</v>
      </c>
    </row>
    <row r="35" spans="1:6" s="2" customFormat="1" x14ac:dyDescent="0.2">
      <c r="A35" s="259" t="s">
        <v>240</v>
      </c>
      <c r="B35" s="239" t="s">
        <v>493</v>
      </c>
      <c r="C35" s="255">
        <v>24</v>
      </c>
      <c r="D35" s="256">
        <f>SUM(D36:D39)-D40</f>
        <v>0</v>
      </c>
      <c r="E35" s="256">
        <f>SUM(E36:E39)-E40</f>
        <v>0</v>
      </c>
      <c r="F35" s="257" t="str">
        <f t="shared" si="0"/>
        <v>-</v>
      </c>
    </row>
    <row r="36" spans="1:6" s="2" customFormat="1" x14ac:dyDescent="0.2">
      <c r="A36" s="238" t="s">
        <v>772</v>
      </c>
      <c r="B36" s="239" t="s">
        <v>2382</v>
      </c>
      <c r="C36" s="255">
        <v>25</v>
      </c>
      <c r="D36" s="241"/>
      <c r="E36" s="241"/>
      <c r="F36" s="242" t="str">
        <f t="shared" si="0"/>
        <v>-</v>
      </c>
    </row>
    <row r="37" spans="1:6" s="2" customFormat="1" x14ac:dyDescent="0.2">
      <c r="A37" s="254" t="s">
        <v>773</v>
      </c>
      <c r="B37" s="239" t="s">
        <v>774</v>
      </c>
      <c r="C37" s="255">
        <v>26</v>
      </c>
      <c r="D37" s="241"/>
      <c r="E37" s="241"/>
      <c r="F37" s="242" t="str">
        <f t="shared" si="0"/>
        <v>-</v>
      </c>
    </row>
    <row r="38" spans="1:6" s="2" customFormat="1" x14ac:dyDescent="0.2">
      <c r="A38" s="254" t="s">
        <v>775</v>
      </c>
      <c r="B38" s="239" t="s">
        <v>565</v>
      </c>
      <c r="C38" s="255">
        <v>27</v>
      </c>
      <c r="D38" s="241"/>
      <c r="E38" s="241"/>
      <c r="F38" s="242" t="str">
        <f t="shared" si="0"/>
        <v>-</v>
      </c>
    </row>
    <row r="39" spans="1:6" s="2" customFormat="1" x14ac:dyDescent="0.2">
      <c r="A39" s="254" t="s">
        <v>776</v>
      </c>
      <c r="B39" s="239" t="s">
        <v>1934</v>
      </c>
      <c r="C39" s="255">
        <v>28</v>
      </c>
      <c r="D39" s="241"/>
      <c r="E39" s="241"/>
      <c r="F39" s="242" t="str">
        <f t="shared" si="0"/>
        <v>-</v>
      </c>
    </row>
    <row r="40" spans="1:6" s="2" customFormat="1" x14ac:dyDescent="0.2">
      <c r="A40" s="254" t="s">
        <v>777</v>
      </c>
      <c r="B40" s="239" t="s">
        <v>778</v>
      </c>
      <c r="C40" s="255">
        <v>29</v>
      </c>
      <c r="D40" s="241"/>
      <c r="E40" s="241"/>
      <c r="F40" s="242" t="str">
        <f t="shared" si="0"/>
        <v>-</v>
      </c>
    </row>
    <row r="41" spans="1:6" s="2" customFormat="1" x14ac:dyDescent="0.2">
      <c r="A41" s="258" t="s">
        <v>779</v>
      </c>
      <c r="B41" s="239" t="s">
        <v>494</v>
      </c>
      <c r="C41" s="255">
        <v>30</v>
      </c>
      <c r="D41" s="256">
        <f>SUM(D42:D45)-D46</f>
        <v>0</v>
      </c>
      <c r="E41" s="256">
        <f>SUM(E42:E45)-E46</f>
        <v>0</v>
      </c>
      <c r="F41" s="257" t="str">
        <f t="shared" si="0"/>
        <v>-</v>
      </c>
    </row>
    <row r="42" spans="1:6" s="2" customFormat="1" x14ac:dyDescent="0.2">
      <c r="A42" s="254" t="s">
        <v>812</v>
      </c>
      <c r="B42" s="239" t="s">
        <v>820</v>
      </c>
      <c r="C42" s="255">
        <v>31</v>
      </c>
      <c r="D42" s="241"/>
      <c r="E42" s="241"/>
      <c r="F42" s="242" t="str">
        <f t="shared" si="0"/>
        <v>-</v>
      </c>
    </row>
    <row r="43" spans="1:6" s="2" customFormat="1" x14ac:dyDescent="0.2">
      <c r="A43" s="254" t="s">
        <v>813</v>
      </c>
      <c r="B43" s="239" t="s">
        <v>818</v>
      </c>
      <c r="C43" s="255">
        <v>32</v>
      </c>
      <c r="D43" s="241"/>
      <c r="E43" s="241"/>
      <c r="F43" s="242" t="str">
        <f t="shared" si="0"/>
        <v>-</v>
      </c>
    </row>
    <row r="44" spans="1:6" s="2" customFormat="1" x14ac:dyDescent="0.2">
      <c r="A44" s="254" t="s">
        <v>814</v>
      </c>
      <c r="B44" s="239" t="s">
        <v>1867</v>
      </c>
      <c r="C44" s="255">
        <v>33</v>
      </c>
      <c r="D44" s="241"/>
      <c r="E44" s="241"/>
      <c r="F44" s="242" t="str">
        <f t="shared" si="0"/>
        <v>-</v>
      </c>
    </row>
    <row r="45" spans="1:6" s="2" customFormat="1" x14ac:dyDescent="0.2">
      <c r="A45" s="254" t="s">
        <v>815</v>
      </c>
      <c r="B45" s="239" t="s">
        <v>1868</v>
      </c>
      <c r="C45" s="255">
        <v>34</v>
      </c>
      <c r="D45" s="241"/>
      <c r="E45" s="241"/>
      <c r="F45" s="242" t="str">
        <f t="shared" si="0"/>
        <v>-</v>
      </c>
    </row>
    <row r="46" spans="1:6" s="2" customFormat="1" x14ac:dyDescent="0.2">
      <c r="A46" s="254" t="s">
        <v>2769</v>
      </c>
      <c r="B46" s="239" t="s">
        <v>655</v>
      </c>
      <c r="C46" s="255">
        <v>35</v>
      </c>
      <c r="D46" s="241"/>
      <c r="E46" s="241"/>
      <c r="F46" s="242" t="str">
        <f t="shared" si="0"/>
        <v>-</v>
      </c>
    </row>
    <row r="47" spans="1:6" s="2" customFormat="1" x14ac:dyDescent="0.2">
      <c r="A47" s="258" t="s">
        <v>2770</v>
      </c>
      <c r="B47" s="239" t="s">
        <v>1258</v>
      </c>
      <c r="C47" s="255">
        <v>36</v>
      </c>
      <c r="D47" s="256">
        <f>SUM(D48:D49)-D50</f>
        <v>0</v>
      </c>
      <c r="E47" s="256">
        <f>SUM(E48:E49)-E50</f>
        <v>0</v>
      </c>
      <c r="F47" s="257" t="str">
        <f t="shared" si="0"/>
        <v>-</v>
      </c>
    </row>
    <row r="48" spans="1:6" s="2" customFormat="1" x14ac:dyDescent="0.2">
      <c r="A48" s="254" t="s">
        <v>2364</v>
      </c>
      <c r="B48" s="239" t="s">
        <v>1869</v>
      </c>
      <c r="C48" s="255">
        <v>37</v>
      </c>
      <c r="D48" s="241"/>
      <c r="E48" s="241"/>
      <c r="F48" s="242" t="str">
        <f t="shared" si="0"/>
        <v>-</v>
      </c>
    </row>
    <row r="49" spans="1:6" s="2" customFormat="1" x14ac:dyDescent="0.2">
      <c r="A49" s="254" t="s">
        <v>2365</v>
      </c>
      <c r="B49" s="239" t="s">
        <v>3044</v>
      </c>
      <c r="C49" s="255">
        <v>38</v>
      </c>
      <c r="D49" s="241"/>
      <c r="E49" s="241"/>
      <c r="F49" s="242" t="str">
        <f t="shared" si="0"/>
        <v>-</v>
      </c>
    </row>
    <row r="50" spans="1:6" s="2" customFormat="1" x14ac:dyDescent="0.2">
      <c r="A50" s="254" t="s">
        <v>2366</v>
      </c>
      <c r="B50" s="239" t="s">
        <v>766</v>
      </c>
      <c r="C50" s="255">
        <v>39</v>
      </c>
      <c r="D50" s="241"/>
      <c r="E50" s="241"/>
      <c r="F50" s="242" t="str">
        <f t="shared" si="0"/>
        <v>-</v>
      </c>
    </row>
    <row r="51" spans="1:6" s="2" customFormat="1" x14ac:dyDescent="0.2">
      <c r="A51" s="258" t="s">
        <v>767</v>
      </c>
      <c r="B51" s="239" t="s">
        <v>1259</v>
      </c>
      <c r="C51" s="255">
        <v>40</v>
      </c>
      <c r="D51" s="256">
        <f>SUM(D52:D55)-D56</f>
        <v>0</v>
      </c>
      <c r="E51" s="256">
        <f>SUM(E52:E55)-E56</f>
        <v>0</v>
      </c>
      <c r="F51" s="257" t="str">
        <f t="shared" si="0"/>
        <v>-</v>
      </c>
    </row>
    <row r="52" spans="1:6" s="2" customFormat="1" x14ac:dyDescent="0.2">
      <c r="A52" s="254" t="s">
        <v>768</v>
      </c>
      <c r="B52" s="239" t="s">
        <v>819</v>
      </c>
      <c r="C52" s="255">
        <v>41</v>
      </c>
      <c r="D52" s="241"/>
      <c r="E52" s="241"/>
      <c r="F52" s="242" t="str">
        <f t="shared" si="0"/>
        <v>-</v>
      </c>
    </row>
    <row r="53" spans="1:6" s="2" customFormat="1" x14ac:dyDescent="0.2">
      <c r="A53" s="254" t="s">
        <v>3417</v>
      </c>
      <c r="B53" s="239" t="s">
        <v>3418</v>
      </c>
      <c r="C53" s="255">
        <v>42</v>
      </c>
      <c r="D53" s="241"/>
      <c r="E53" s="241"/>
      <c r="F53" s="242" t="str">
        <f t="shared" si="0"/>
        <v>-</v>
      </c>
    </row>
    <row r="54" spans="1:6" s="2" customFormat="1" x14ac:dyDescent="0.2">
      <c r="A54" s="254" t="s">
        <v>3419</v>
      </c>
      <c r="B54" s="239" t="s">
        <v>66</v>
      </c>
      <c r="C54" s="255">
        <v>43</v>
      </c>
      <c r="D54" s="241"/>
      <c r="E54" s="241"/>
      <c r="F54" s="242" t="str">
        <f t="shared" si="0"/>
        <v>-</v>
      </c>
    </row>
    <row r="55" spans="1:6" s="2" customFormat="1" x14ac:dyDescent="0.2">
      <c r="A55" s="254" t="s">
        <v>3420</v>
      </c>
      <c r="B55" s="239" t="s">
        <v>67</v>
      </c>
      <c r="C55" s="255">
        <v>44</v>
      </c>
      <c r="D55" s="241"/>
      <c r="E55" s="241"/>
      <c r="F55" s="242" t="str">
        <f t="shared" si="0"/>
        <v>-</v>
      </c>
    </row>
    <row r="56" spans="1:6" s="2" customFormat="1" x14ac:dyDescent="0.2">
      <c r="A56" s="254" t="s">
        <v>3421</v>
      </c>
      <c r="B56" s="239" t="s">
        <v>3422</v>
      </c>
      <c r="C56" s="255">
        <v>45</v>
      </c>
      <c r="D56" s="241"/>
      <c r="E56" s="241"/>
      <c r="F56" s="242" t="str">
        <f t="shared" si="0"/>
        <v>-</v>
      </c>
    </row>
    <row r="57" spans="1:6" s="2" customFormat="1" x14ac:dyDescent="0.2">
      <c r="A57" s="254" t="s">
        <v>3423</v>
      </c>
      <c r="B57" s="239" t="s">
        <v>3169</v>
      </c>
      <c r="C57" s="255">
        <v>46</v>
      </c>
      <c r="D57" s="241"/>
      <c r="E57" s="241"/>
      <c r="F57" s="242" t="str">
        <f t="shared" si="0"/>
        <v>-</v>
      </c>
    </row>
    <row r="58" spans="1:6" s="2" customFormat="1" x14ac:dyDescent="0.2">
      <c r="A58" s="238" t="s">
        <v>3170</v>
      </c>
      <c r="B58" s="239" t="s">
        <v>1247</v>
      </c>
      <c r="C58" s="240">
        <v>47</v>
      </c>
      <c r="D58" s="256">
        <f>SUM(D59:D60)-D61</f>
        <v>0</v>
      </c>
      <c r="E58" s="256">
        <f>SUM(E59:E60)-E61</f>
        <v>0</v>
      </c>
      <c r="F58" s="257" t="str">
        <f t="shared" si="0"/>
        <v>-</v>
      </c>
    </row>
    <row r="59" spans="1:6" s="2" customFormat="1" x14ac:dyDescent="0.2">
      <c r="A59" s="238" t="s">
        <v>3714</v>
      </c>
      <c r="B59" s="239" t="s">
        <v>1248</v>
      </c>
      <c r="C59" s="240">
        <v>48</v>
      </c>
      <c r="D59" s="241"/>
      <c r="E59" s="241"/>
      <c r="F59" s="242" t="str">
        <f t="shared" si="0"/>
        <v>-</v>
      </c>
    </row>
    <row r="60" spans="1:6" s="2" customFormat="1" x14ac:dyDescent="0.2">
      <c r="A60" s="238" t="s">
        <v>3715</v>
      </c>
      <c r="B60" s="239" t="s">
        <v>1249</v>
      </c>
      <c r="C60" s="240">
        <v>49</v>
      </c>
      <c r="D60" s="241"/>
      <c r="E60" s="241"/>
      <c r="F60" s="242" t="str">
        <f t="shared" si="0"/>
        <v>-</v>
      </c>
    </row>
    <row r="61" spans="1:6" s="2" customFormat="1" x14ac:dyDescent="0.2">
      <c r="A61" s="254" t="s">
        <v>3716</v>
      </c>
      <c r="B61" s="239" t="s">
        <v>4145</v>
      </c>
      <c r="C61" s="255">
        <v>50</v>
      </c>
      <c r="D61" s="241"/>
      <c r="E61" s="241"/>
      <c r="F61" s="242" t="str">
        <f t="shared" si="0"/>
        <v>-</v>
      </c>
    </row>
    <row r="62" spans="1:6" s="2" customFormat="1" x14ac:dyDescent="0.2">
      <c r="A62" s="254" t="s">
        <v>4146</v>
      </c>
      <c r="B62" s="239" t="s">
        <v>3026</v>
      </c>
      <c r="C62" s="255">
        <v>51</v>
      </c>
      <c r="D62" s="256">
        <f>SUM(D63:D68)</f>
        <v>0</v>
      </c>
      <c r="E62" s="256">
        <f>SUM(E63:E68)</f>
        <v>0</v>
      </c>
      <c r="F62" s="257" t="str">
        <f t="shared" si="0"/>
        <v>-</v>
      </c>
    </row>
    <row r="63" spans="1:6" s="2" customFormat="1" x14ac:dyDescent="0.2">
      <c r="A63" s="254" t="s">
        <v>4147</v>
      </c>
      <c r="B63" s="239" t="s">
        <v>4148</v>
      </c>
      <c r="C63" s="255">
        <v>52</v>
      </c>
      <c r="D63" s="241"/>
      <c r="E63" s="241"/>
      <c r="F63" s="242" t="str">
        <f t="shared" si="0"/>
        <v>-</v>
      </c>
    </row>
    <row r="64" spans="1:6" s="2" customFormat="1" x14ac:dyDescent="0.2">
      <c r="A64" s="254" t="s">
        <v>4149</v>
      </c>
      <c r="B64" s="239" t="s">
        <v>3468</v>
      </c>
      <c r="C64" s="255">
        <v>53</v>
      </c>
      <c r="D64" s="241"/>
      <c r="E64" s="241"/>
      <c r="F64" s="242" t="str">
        <f t="shared" si="0"/>
        <v>-</v>
      </c>
    </row>
    <row r="65" spans="1:6" s="2" customFormat="1" x14ac:dyDescent="0.2">
      <c r="A65" s="254" t="s">
        <v>3469</v>
      </c>
      <c r="B65" s="239" t="s">
        <v>1984</v>
      </c>
      <c r="C65" s="255">
        <v>54</v>
      </c>
      <c r="D65" s="241"/>
      <c r="E65" s="241"/>
      <c r="F65" s="242" t="str">
        <f t="shared" si="0"/>
        <v>-</v>
      </c>
    </row>
    <row r="66" spans="1:6" s="2" customFormat="1" x14ac:dyDescent="0.2">
      <c r="A66" s="254" t="s">
        <v>1985</v>
      </c>
      <c r="B66" s="239" t="s">
        <v>3740</v>
      </c>
      <c r="C66" s="255">
        <v>55</v>
      </c>
      <c r="D66" s="241"/>
      <c r="E66" s="241"/>
      <c r="F66" s="242" t="str">
        <f t="shared" si="0"/>
        <v>-</v>
      </c>
    </row>
    <row r="67" spans="1:6" s="2" customFormat="1" x14ac:dyDescent="0.2">
      <c r="A67" s="254" t="s">
        <v>3741</v>
      </c>
      <c r="B67" s="239" t="s">
        <v>3742</v>
      </c>
      <c r="C67" s="255">
        <v>56</v>
      </c>
      <c r="D67" s="241"/>
      <c r="E67" s="241"/>
      <c r="F67" s="242" t="str">
        <f t="shared" si="0"/>
        <v>-</v>
      </c>
    </row>
    <row r="68" spans="1:6" s="2" customFormat="1" x14ac:dyDescent="0.2">
      <c r="A68" s="238" t="s">
        <v>1718</v>
      </c>
      <c r="B68" s="239" t="s">
        <v>656</v>
      </c>
      <c r="C68" s="255">
        <v>57</v>
      </c>
      <c r="D68" s="241"/>
      <c r="E68" s="241"/>
      <c r="F68" s="242" t="str">
        <f t="shared" si="0"/>
        <v>-</v>
      </c>
    </row>
    <row r="69" spans="1:6" s="2" customFormat="1" x14ac:dyDescent="0.2">
      <c r="A69" s="238" t="s">
        <v>1719</v>
      </c>
      <c r="B69" s="239" t="s">
        <v>3027</v>
      </c>
      <c r="C69" s="255">
        <v>58</v>
      </c>
      <c r="D69" s="256">
        <f>SUM(D70:D73)</f>
        <v>0</v>
      </c>
      <c r="E69" s="256">
        <f>SUM(E70:E73)</f>
        <v>0</v>
      </c>
      <c r="F69" s="257" t="str">
        <f t="shared" si="0"/>
        <v>-</v>
      </c>
    </row>
    <row r="70" spans="1:6" s="2" customFormat="1" x14ac:dyDescent="0.2">
      <c r="A70" s="238" t="s">
        <v>1720</v>
      </c>
      <c r="B70" s="239" t="s">
        <v>1721</v>
      </c>
      <c r="C70" s="255">
        <v>59</v>
      </c>
      <c r="D70" s="241"/>
      <c r="E70" s="241"/>
      <c r="F70" s="242" t="str">
        <f t="shared" si="0"/>
        <v>-</v>
      </c>
    </row>
    <row r="71" spans="1:6" s="2" customFormat="1" x14ac:dyDescent="0.2">
      <c r="A71" s="238" t="s">
        <v>1722</v>
      </c>
      <c r="B71" s="239" t="s">
        <v>1723</v>
      </c>
      <c r="C71" s="255">
        <v>60</v>
      </c>
      <c r="D71" s="241"/>
      <c r="E71" s="241"/>
      <c r="F71" s="242" t="str">
        <f t="shared" si="0"/>
        <v>-</v>
      </c>
    </row>
    <row r="72" spans="1:6" s="2" customFormat="1" x14ac:dyDescent="0.2">
      <c r="A72" s="238" t="s">
        <v>1825</v>
      </c>
      <c r="B72" s="239" t="s">
        <v>3028</v>
      </c>
      <c r="C72" s="255">
        <v>61</v>
      </c>
      <c r="D72" s="241"/>
      <c r="E72" s="241"/>
      <c r="F72" s="242" t="str">
        <f t="shared" si="0"/>
        <v>-</v>
      </c>
    </row>
    <row r="73" spans="1:6" s="2" customFormat="1" x14ac:dyDescent="0.2">
      <c r="A73" s="238" t="s">
        <v>1724</v>
      </c>
      <c r="B73" s="239" t="s">
        <v>1725</v>
      </c>
      <c r="C73" s="255">
        <v>62</v>
      </c>
      <c r="D73" s="241"/>
      <c r="E73" s="241"/>
      <c r="F73" s="242" t="str">
        <f t="shared" si="0"/>
        <v>-</v>
      </c>
    </row>
    <row r="74" spans="1:6" s="2" customFormat="1" x14ac:dyDescent="0.2">
      <c r="A74" s="238" t="s">
        <v>1726</v>
      </c>
      <c r="B74" s="239" t="s">
        <v>1250</v>
      </c>
      <c r="C74" s="240">
        <v>63</v>
      </c>
      <c r="D74" s="256">
        <f>D75+D84+D93+D124+D140+D152+D170+D176</f>
        <v>0</v>
      </c>
      <c r="E74" s="256">
        <f>E75+E84+E93+E124+E140+E152+E170+E176</f>
        <v>0</v>
      </c>
      <c r="F74" s="257" t="str">
        <f t="shared" si="0"/>
        <v>-</v>
      </c>
    </row>
    <row r="75" spans="1:6" s="2" customFormat="1" x14ac:dyDescent="0.2">
      <c r="A75" s="238" t="s">
        <v>986</v>
      </c>
      <c r="B75" s="239" t="s">
        <v>3352</v>
      </c>
      <c r="C75" s="255">
        <v>64</v>
      </c>
      <c r="D75" s="256">
        <f>+D76+D81+D82+D83</f>
        <v>0</v>
      </c>
      <c r="E75" s="256">
        <f>+E76+E81+E82+E83</f>
        <v>0</v>
      </c>
      <c r="F75" s="257" t="str">
        <f t="shared" si="0"/>
        <v>-</v>
      </c>
    </row>
    <row r="76" spans="1:6" s="2" customFormat="1" x14ac:dyDescent="0.2">
      <c r="A76" s="238" t="s">
        <v>1727</v>
      </c>
      <c r="B76" s="260" t="s">
        <v>2742</v>
      </c>
      <c r="C76" s="255">
        <v>65</v>
      </c>
      <c r="D76" s="256">
        <f>SUM(D77:D80)</f>
        <v>0</v>
      </c>
      <c r="E76" s="256">
        <f>SUM(E77:E80)</f>
        <v>0</v>
      </c>
      <c r="F76" s="257" t="str">
        <f t="shared" ref="F76:F140" si="1">IF(D76&gt;0,IF(E76/D76&gt;=100,"&gt;&gt;100",E76/D76*100),"-")</f>
        <v>-</v>
      </c>
    </row>
    <row r="77" spans="1:6" s="2" customFormat="1" x14ac:dyDescent="0.2">
      <c r="A77" s="238" t="s">
        <v>2743</v>
      </c>
      <c r="B77" s="239" t="s">
        <v>2744</v>
      </c>
      <c r="C77" s="255">
        <v>66</v>
      </c>
      <c r="D77" s="241"/>
      <c r="E77" s="241"/>
      <c r="F77" s="242" t="str">
        <f t="shared" si="1"/>
        <v>-</v>
      </c>
    </row>
    <row r="78" spans="1:6" s="2" customFormat="1" x14ac:dyDescent="0.2">
      <c r="A78" s="238" t="s">
        <v>2788</v>
      </c>
      <c r="B78" s="239" t="s">
        <v>2789</v>
      </c>
      <c r="C78" s="255">
        <v>67</v>
      </c>
      <c r="D78" s="241"/>
      <c r="E78" s="241"/>
      <c r="F78" s="242" t="str">
        <f t="shared" si="1"/>
        <v>-</v>
      </c>
    </row>
    <row r="79" spans="1:6" s="2" customFormat="1" x14ac:dyDescent="0.2">
      <c r="A79" s="238" t="s">
        <v>2790</v>
      </c>
      <c r="B79" s="239" t="s">
        <v>2791</v>
      </c>
      <c r="C79" s="255">
        <v>68</v>
      </c>
      <c r="D79" s="241"/>
      <c r="E79" s="241"/>
      <c r="F79" s="242" t="str">
        <f t="shared" si="1"/>
        <v>-</v>
      </c>
    </row>
    <row r="80" spans="1:6" s="2" customFormat="1" x14ac:dyDescent="0.2">
      <c r="A80" s="238" t="s">
        <v>2792</v>
      </c>
      <c r="B80" s="239" t="s">
        <v>2793</v>
      </c>
      <c r="C80" s="255">
        <v>69</v>
      </c>
      <c r="D80" s="241"/>
      <c r="E80" s="241"/>
      <c r="F80" s="242" t="str">
        <f t="shared" si="1"/>
        <v>-</v>
      </c>
    </row>
    <row r="81" spans="1:6" s="2" customFormat="1" x14ac:dyDescent="0.2">
      <c r="A81" s="238" t="s">
        <v>1791</v>
      </c>
      <c r="B81" s="260" t="s">
        <v>1792</v>
      </c>
      <c r="C81" s="255">
        <v>70</v>
      </c>
      <c r="D81" s="241"/>
      <c r="E81" s="241"/>
      <c r="F81" s="242" t="str">
        <f t="shared" si="1"/>
        <v>-</v>
      </c>
    </row>
    <row r="82" spans="1:6" s="2" customFormat="1" x14ac:dyDescent="0.2">
      <c r="A82" s="238" t="s">
        <v>1793</v>
      </c>
      <c r="B82" s="260" t="s">
        <v>1794</v>
      </c>
      <c r="C82" s="255">
        <v>71</v>
      </c>
      <c r="D82" s="241"/>
      <c r="E82" s="241"/>
      <c r="F82" s="242" t="str">
        <f t="shared" si="1"/>
        <v>-</v>
      </c>
    </row>
    <row r="83" spans="1:6" s="2" customFormat="1" x14ac:dyDescent="0.2">
      <c r="A83" s="238" t="s">
        <v>1795</v>
      </c>
      <c r="B83" s="260" t="s">
        <v>1796</v>
      </c>
      <c r="C83" s="255">
        <v>72</v>
      </c>
      <c r="D83" s="241"/>
      <c r="E83" s="241"/>
      <c r="F83" s="242" t="str">
        <f t="shared" si="1"/>
        <v>-</v>
      </c>
    </row>
    <row r="84" spans="1:6" s="2" customFormat="1" ht="24" x14ac:dyDescent="0.2">
      <c r="A84" s="238" t="s">
        <v>1797</v>
      </c>
      <c r="B84" s="239" t="s">
        <v>722</v>
      </c>
      <c r="C84" s="255">
        <v>73</v>
      </c>
      <c r="D84" s="256">
        <f>D85+SUM(D88:D90)-D91+D92</f>
        <v>0</v>
      </c>
      <c r="E84" s="256">
        <f>E85+SUM(E88:E90)-E91+E92</f>
        <v>0</v>
      </c>
      <c r="F84" s="257" t="str">
        <f t="shared" si="1"/>
        <v>-</v>
      </c>
    </row>
    <row r="85" spans="1:6" s="2" customFormat="1" x14ac:dyDescent="0.2">
      <c r="A85" s="238" t="s">
        <v>1798</v>
      </c>
      <c r="B85" s="260" t="s">
        <v>2794</v>
      </c>
      <c r="C85" s="255">
        <v>74</v>
      </c>
      <c r="D85" s="256">
        <f>SUM(D86:D87)</f>
        <v>0</v>
      </c>
      <c r="E85" s="256">
        <f>SUM(E86:E87)</f>
        <v>0</v>
      </c>
      <c r="F85" s="257" t="str">
        <f t="shared" si="1"/>
        <v>-</v>
      </c>
    </row>
    <row r="86" spans="1:6" s="2" customFormat="1" x14ac:dyDescent="0.2">
      <c r="A86" s="238" t="s">
        <v>2795</v>
      </c>
      <c r="B86" s="239" t="s">
        <v>2796</v>
      </c>
      <c r="C86" s="255">
        <v>75</v>
      </c>
      <c r="D86" s="241"/>
      <c r="E86" s="241"/>
      <c r="F86" s="242" t="str">
        <f t="shared" si="1"/>
        <v>-</v>
      </c>
    </row>
    <row r="87" spans="1:6" s="2" customFormat="1" x14ac:dyDescent="0.2">
      <c r="A87" s="238" t="s">
        <v>2333</v>
      </c>
      <c r="B87" s="239" t="s">
        <v>1552</v>
      </c>
      <c r="C87" s="255">
        <v>76</v>
      </c>
      <c r="D87" s="241"/>
      <c r="E87" s="241"/>
      <c r="F87" s="242" t="str">
        <f t="shared" si="1"/>
        <v>-</v>
      </c>
    </row>
    <row r="88" spans="1:6" s="2" customFormat="1" x14ac:dyDescent="0.2">
      <c r="A88" s="238" t="s">
        <v>1799</v>
      </c>
      <c r="B88" s="260" t="s">
        <v>1800</v>
      </c>
      <c r="C88" s="255">
        <v>77</v>
      </c>
      <c r="D88" s="241"/>
      <c r="E88" s="241"/>
      <c r="F88" s="242" t="str">
        <f t="shared" si="1"/>
        <v>-</v>
      </c>
    </row>
    <row r="89" spans="1:6" s="2" customFormat="1" x14ac:dyDescent="0.2">
      <c r="A89" s="238" t="s">
        <v>1801</v>
      </c>
      <c r="B89" s="260" t="s">
        <v>1802</v>
      </c>
      <c r="C89" s="255">
        <v>78</v>
      </c>
      <c r="D89" s="241"/>
      <c r="E89" s="241"/>
      <c r="F89" s="242" t="str">
        <f t="shared" si="1"/>
        <v>-</v>
      </c>
    </row>
    <row r="90" spans="1:6" s="2" customFormat="1" x14ac:dyDescent="0.2">
      <c r="A90" s="238" t="s">
        <v>1803</v>
      </c>
      <c r="B90" s="260" t="s">
        <v>1804</v>
      </c>
      <c r="C90" s="255">
        <v>79</v>
      </c>
      <c r="D90" s="241"/>
      <c r="E90" s="241"/>
      <c r="F90" s="242" t="str">
        <f t="shared" si="1"/>
        <v>-</v>
      </c>
    </row>
    <row r="91" spans="1:6" s="2" customFormat="1" x14ac:dyDescent="0.2">
      <c r="A91" s="238" t="s">
        <v>3503</v>
      </c>
      <c r="B91" s="260" t="s">
        <v>3504</v>
      </c>
      <c r="C91" s="255">
        <v>80</v>
      </c>
      <c r="D91" s="241"/>
      <c r="E91" s="241"/>
      <c r="F91" s="242" t="str">
        <f>IF(D91&gt;0,IF(E91/D91&gt;=100,"&gt;&gt;100",E91/D91*100),"-")</f>
        <v>-</v>
      </c>
    </row>
    <row r="92" spans="1:6" s="2" customFormat="1" x14ac:dyDescent="0.2">
      <c r="A92" s="238" t="s">
        <v>1805</v>
      </c>
      <c r="B92" s="260" t="s">
        <v>1806</v>
      </c>
      <c r="C92" s="255">
        <v>81</v>
      </c>
      <c r="D92" s="241"/>
      <c r="E92" s="241"/>
      <c r="F92" s="242" t="str">
        <f t="shared" si="1"/>
        <v>-</v>
      </c>
    </row>
    <row r="93" spans="1:6" s="2" customFormat="1" x14ac:dyDescent="0.2">
      <c r="A93" s="238" t="s">
        <v>1807</v>
      </c>
      <c r="B93" s="239" t="s">
        <v>3029</v>
      </c>
      <c r="C93" s="255">
        <v>82</v>
      </c>
      <c r="D93" s="256">
        <f>D94+D112-D123</f>
        <v>0</v>
      </c>
      <c r="E93" s="256">
        <f>E94+E112-E123</f>
        <v>0</v>
      </c>
      <c r="F93" s="257" t="str">
        <f t="shared" si="1"/>
        <v>-</v>
      </c>
    </row>
    <row r="94" spans="1:6" s="2" customFormat="1" x14ac:dyDescent="0.2">
      <c r="A94" s="238"/>
      <c r="B94" s="239" t="s">
        <v>3030</v>
      </c>
      <c r="C94" s="255">
        <v>83</v>
      </c>
      <c r="D94" s="256">
        <f>SUM(D95:D111)</f>
        <v>0</v>
      </c>
      <c r="E94" s="256">
        <f>SUM(E95:E111)</f>
        <v>0</v>
      </c>
      <c r="F94" s="257" t="str">
        <f t="shared" si="1"/>
        <v>-</v>
      </c>
    </row>
    <row r="95" spans="1:6" s="2" customFormat="1" x14ac:dyDescent="0.2">
      <c r="A95" s="238" t="s">
        <v>1808</v>
      </c>
      <c r="B95" s="260" t="s">
        <v>3677</v>
      </c>
      <c r="C95" s="255">
        <v>84</v>
      </c>
      <c r="D95" s="241"/>
      <c r="E95" s="241"/>
      <c r="F95" s="242" t="str">
        <f t="shared" si="1"/>
        <v>-</v>
      </c>
    </row>
    <row r="96" spans="1:6" s="2" customFormat="1" x14ac:dyDescent="0.2">
      <c r="A96" s="238" t="s">
        <v>271</v>
      </c>
      <c r="B96" s="260" t="s">
        <v>272</v>
      </c>
      <c r="C96" s="255">
        <v>85</v>
      </c>
      <c r="D96" s="241"/>
      <c r="E96" s="241"/>
      <c r="F96" s="242" t="str">
        <f t="shared" si="1"/>
        <v>-</v>
      </c>
    </row>
    <row r="97" spans="1:6" s="2" customFormat="1" x14ac:dyDescent="0.2">
      <c r="A97" s="238" t="s">
        <v>273</v>
      </c>
      <c r="B97" s="260" t="s">
        <v>274</v>
      </c>
      <c r="C97" s="255">
        <v>86</v>
      </c>
      <c r="D97" s="241"/>
      <c r="E97" s="241"/>
      <c r="F97" s="242" t="str">
        <f t="shared" si="1"/>
        <v>-</v>
      </c>
    </row>
    <row r="98" spans="1:6" s="2" customFormat="1" x14ac:dyDescent="0.2">
      <c r="A98" s="238" t="s">
        <v>275</v>
      </c>
      <c r="B98" s="260" t="s">
        <v>3838</v>
      </c>
      <c r="C98" s="255">
        <v>87</v>
      </c>
      <c r="D98" s="241"/>
      <c r="E98" s="241"/>
      <c r="F98" s="242" t="str">
        <f t="shared" si="1"/>
        <v>-</v>
      </c>
    </row>
    <row r="99" spans="1:6" s="2" customFormat="1" x14ac:dyDescent="0.2">
      <c r="A99" s="238" t="s">
        <v>3492</v>
      </c>
      <c r="B99" s="260" t="s">
        <v>3493</v>
      </c>
      <c r="C99" s="255">
        <v>88</v>
      </c>
      <c r="D99" s="241"/>
      <c r="E99" s="241"/>
      <c r="F99" s="242" t="str">
        <f t="shared" si="1"/>
        <v>-</v>
      </c>
    </row>
    <row r="100" spans="1:6" s="2" customFormat="1" x14ac:dyDescent="0.2">
      <c r="A100" s="238" t="s">
        <v>3839</v>
      </c>
      <c r="B100" s="260" t="s">
        <v>1102</v>
      </c>
      <c r="C100" s="255">
        <v>89</v>
      </c>
      <c r="D100" s="241"/>
      <c r="E100" s="241"/>
      <c r="F100" s="242" t="str">
        <f t="shared" si="1"/>
        <v>-</v>
      </c>
    </row>
    <row r="101" spans="1:6" s="2" customFormat="1" x14ac:dyDescent="0.2">
      <c r="A101" s="238" t="s">
        <v>1103</v>
      </c>
      <c r="B101" s="260" t="s">
        <v>1104</v>
      </c>
      <c r="C101" s="255">
        <v>90</v>
      </c>
      <c r="D101" s="241"/>
      <c r="E101" s="241"/>
      <c r="F101" s="242" t="str">
        <f t="shared" si="1"/>
        <v>-</v>
      </c>
    </row>
    <row r="102" spans="1:6" s="2" customFormat="1" x14ac:dyDescent="0.2">
      <c r="A102" s="238" t="s">
        <v>1105</v>
      </c>
      <c r="B102" s="260" t="s">
        <v>691</v>
      </c>
      <c r="C102" s="255">
        <v>91</v>
      </c>
      <c r="D102" s="241"/>
      <c r="E102" s="241"/>
      <c r="F102" s="242" t="str">
        <f t="shared" si="1"/>
        <v>-</v>
      </c>
    </row>
    <row r="103" spans="1:6" s="2" customFormat="1" x14ac:dyDescent="0.2">
      <c r="A103" s="238" t="s">
        <v>692</v>
      </c>
      <c r="B103" s="260" t="s">
        <v>4041</v>
      </c>
      <c r="C103" s="255">
        <v>92</v>
      </c>
      <c r="D103" s="241"/>
      <c r="E103" s="241"/>
      <c r="F103" s="242" t="str">
        <f t="shared" si="1"/>
        <v>-</v>
      </c>
    </row>
    <row r="104" spans="1:6" s="2" customFormat="1" x14ac:dyDescent="0.2">
      <c r="A104" s="238" t="s">
        <v>4042</v>
      </c>
      <c r="B104" s="260" t="s">
        <v>4043</v>
      </c>
      <c r="C104" s="255">
        <v>93</v>
      </c>
      <c r="D104" s="241"/>
      <c r="E104" s="241"/>
      <c r="F104" s="242" t="str">
        <f t="shared" si="1"/>
        <v>-</v>
      </c>
    </row>
    <row r="105" spans="1:6" s="2" customFormat="1" x14ac:dyDescent="0.2">
      <c r="A105" s="238" t="s">
        <v>4044</v>
      </c>
      <c r="B105" s="260" t="s">
        <v>4045</v>
      </c>
      <c r="C105" s="255">
        <v>94</v>
      </c>
      <c r="D105" s="241"/>
      <c r="E105" s="241"/>
      <c r="F105" s="242" t="str">
        <f t="shared" si="1"/>
        <v>-</v>
      </c>
    </row>
    <row r="106" spans="1:6" s="2" customFormat="1" x14ac:dyDescent="0.2">
      <c r="A106" s="238" t="s">
        <v>4046</v>
      </c>
      <c r="B106" s="260" t="s">
        <v>4047</v>
      </c>
      <c r="C106" s="255">
        <v>95</v>
      </c>
      <c r="D106" s="241"/>
      <c r="E106" s="241"/>
      <c r="F106" s="242" t="str">
        <f t="shared" si="1"/>
        <v>-</v>
      </c>
    </row>
    <row r="107" spans="1:6" s="2" customFormat="1" x14ac:dyDescent="0.2">
      <c r="A107" s="238" t="s">
        <v>4048</v>
      </c>
      <c r="B107" s="260" t="s">
        <v>1299</v>
      </c>
      <c r="C107" s="255">
        <v>96</v>
      </c>
      <c r="D107" s="241"/>
      <c r="E107" s="241"/>
      <c r="F107" s="242" t="str">
        <f t="shared" si="1"/>
        <v>-</v>
      </c>
    </row>
    <row r="108" spans="1:6" s="2" customFormat="1" x14ac:dyDescent="0.2">
      <c r="A108" s="238" t="s">
        <v>1300</v>
      </c>
      <c r="B108" s="260" t="s">
        <v>1301</v>
      </c>
      <c r="C108" s="255">
        <v>97</v>
      </c>
      <c r="D108" s="241"/>
      <c r="E108" s="241"/>
      <c r="F108" s="242" t="str">
        <f t="shared" si="1"/>
        <v>-</v>
      </c>
    </row>
    <row r="109" spans="1:6" s="2" customFormat="1" x14ac:dyDescent="0.2">
      <c r="A109" s="238" t="s">
        <v>1302</v>
      </c>
      <c r="B109" s="260" t="s">
        <v>2525</v>
      </c>
      <c r="C109" s="255">
        <v>98</v>
      </c>
      <c r="D109" s="241"/>
      <c r="E109" s="241"/>
      <c r="F109" s="242" t="str">
        <f t="shared" si="1"/>
        <v>-</v>
      </c>
    </row>
    <row r="110" spans="1:6" s="2" customFormat="1" x14ac:dyDescent="0.2">
      <c r="A110" s="238" t="s">
        <v>2526</v>
      </c>
      <c r="B110" s="260" t="s">
        <v>1547</v>
      </c>
      <c r="C110" s="255">
        <v>99</v>
      </c>
      <c r="D110" s="241"/>
      <c r="E110" s="241"/>
      <c r="F110" s="242" t="str">
        <f t="shared" si="1"/>
        <v>-</v>
      </c>
    </row>
    <row r="111" spans="1:6" s="2" customFormat="1" x14ac:dyDescent="0.2">
      <c r="A111" s="238" t="s">
        <v>1548</v>
      </c>
      <c r="B111" s="260" t="s">
        <v>1549</v>
      </c>
      <c r="C111" s="255">
        <v>100</v>
      </c>
      <c r="D111" s="241"/>
      <c r="E111" s="241"/>
      <c r="F111" s="242" t="str">
        <f t="shared" si="1"/>
        <v>-</v>
      </c>
    </row>
    <row r="112" spans="1:6" s="2" customFormat="1" x14ac:dyDescent="0.2">
      <c r="A112" s="238"/>
      <c r="B112" s="239" t="s">
        <v>3031</v>
      </c>
      <c r="C112" s="255">
        <v>101</v>
      </c>
      <c r="D112" s="256">
        <f>SUM(D113:D122)</f>
        <v>0</v>
      </c>
      <c r="E112" s="256">
        <f>SUM(E113:E122)</f>
        <v>0</v>
      </c>
      <c r="F112" s="257" t="str">
        <f t="shared" si="1"/>
        <v>-</v>
      </c>
    </row>
    <row r="113" spans="1:6" s="2" customFormat="1" x14ac:dyDescent="0.2">
      <c r="A113" s="238" t="s">
        <v>3494</v>
      </c>
      <c r="B113" s="260" t="s">
        <v>3495</v>
      </c>
      <c r="C113" s="255">
        <v>102</v>
      </c>
      <c r="D113" s="241"/>
      <c r="E113" s="241"/>
      <c r="F113" s="242" t="str">
        <f t="shared" si="1"/>
        <v>-</v>
      </c>
    </row>
    <row r="114" spans="1:6" s="2" customFormat="1" x14ac:dyDescent="0.2">
      <c r="A114" s="238" t="s">
        <v>2955</v>
      </c>
      <c r="B114" s="260" t="s">
        <v>2956</v>
      </c>
      <c r="C114" s="255">
        <v>103</v>
      </c>
      <c r="D114" s="241"/>
      <c r="E114" s="241"/>
      <c r="F114" s="242" t="str">
        <f t="shared" si="1"/>
        <v>-</v>
      </c>
    </row>
    <row r="115" spans="1:6" s="2" customFormat="1" x14ac:dyDescent="0.2">
      <c r="A115" s="238" t="s">
        <v>2957</v>
      </c>
      <c r="B115" s="260" t="s">
        <v>2958</v>
      </c>
      <c r="C115" s="255">
        <v>104</v>
      </c>
      <c r="D115" s="241"/>
      <c r="E115" s="241"/>
      <c r="F115" s="242" t="str">
        <f t="shared" si="1"/>
        <v>-</v>
      </c>
    </row>
    <row r="116" spans="1:6" s="2" customFormat="1" x14ac:dyDescent="0.2">
      <c r="A116" s="238" t="s">
        <v>2959</v>
      </c>
      <c r="B116" s="260" t="s">
        <v>2960</v>
      </c>
      <c r="C116" s="255">
        <v>105</v>
      </c>
      <c r="D116" s="241"/>
      <c r="E116" s="241"/>
      <c r="F116" s="242" t="str">
        <f t="shared" si="1"/>
        <v>-</v>
      </c>
    </row>
    <row r="117" spans="1:6" s="2" customFormat="1" x14ac:dyDescent="0.2">
      <c r="A117" s="238" t="s">
        <v>3496</v>
      </c>
      <c r="B117" s="260" t="s">
        <v>1012</v>
      </c>
      <c r="C117" s="255">
        <v>106</v>
      </c>
      <c r="D117" s="241"/>
      <c r="E117" s="241"/>
      <c r="F117" s="242" t="str">
        <f t="shared" si="1"/>
        <v>-</v>
      </c>
    </row>
    <row r="118" spans="1:6" s="2" customFormat="1" x14ac:dyDescent="0.2">
      <c r="A118" s="238" t="s">
        <v>2961</v>
      </c>
      <c r="B118" s="260" t="s">
        <v>2962</v>
      </c>
      <c r="C118" s="255">
        <v>107</v>
      </c>
      <c r="D118" s="241"/>
      <c r="E118" s="241"/>
      <c r="F118" s="242" t="str">
        <f t="shared" si="1"/>
        <v>-</v>
      </c>
    </row>
    <row r="119" spans="1:6" s="2" customFormat="1" x14ac:dyDescent="0.2">
      <c r="A119" s="238" t="s">
        <v>2963</v>
      </c>
      <c r="B119" s="260" t="s">
        <v>2964</v>
      </c>
      <c r="C119" s="255">
        <v>108</v>
      </c>
      <c r="D119" s="241"/>
      <c r="E119" s="241"/>
      <c r="F119" s="242" t="str">
        <f t="shared" si="1"/>
        <v>-</v>
      </c>
    </row>
    <row r="120" spans="1:6" s="2" customFormat="1" x14ac:dyDescent="0.2">
      <c r="A120" s="238" t="s">
        <v>2965</v>
      </c>
      <c r="B120" s="260" t="s">
        <v>2872</v>
      </c>
      <c r="C120" s="255">
        <v>109</v>
      </c>
      <c r="D120" s="241"/>
      <c r="E120" s="241"/>
      <c r="F120" s="242" t="str">
        <f t="shared" si="1"/>
        <v>-</v>
      </c>
    </row>
    <row r="121" spans="1:6" s="2" customFormat="1" x14ac:dyDescent="0.2">
      <c r="A121" s="238" t="s">
        <v>2873</v>
      </c>
      <c r="B121" s="260" t="s">
        <v>2874</v>
      </c>
      <c r="C121" s="255">
        <v>110</v>
      </c>
      <c r="D121" s="241"/>
      <c r="E121" s="241"/>
      <c r="F121" s="242" t="str">
        <f t="shared" si="1"/>
        <v>-</v>
      </c>
    </row>
    <row r="122" spans="1:6" s="2" customFormat="1" x14ac:dyDescent="0.2">
      <c r="A122" s="238" t="s">
        <v>2875</v>
      </c>
      <c r="B122" s="260" t="s">
        <v>2876</v>
      </c>
      <c r="C122" s="255">
        <v>111</v>
      </c>
      <c r="D122" s="241"/>
      <c r="E122" s="241"/>
      <c r="F122" s="242" t="str">
        <f t="shared" si="1"/>
        <v>-</v>
      </c>
    </row>
    <row r="123" spans="1:6" s="2" customFormat="1" x14ac:dyDescent="0.2">
      <c r="A123" s="238" t="s">
        <v>1013</v>
      </c>
      <c r="B123" s="260" t="s">
        <v>1014</v>
      </c>
      <c r="C123" s="255">
        <v>112</v>
      </c>
      <c r="D123" s="241"/>
      <c r="E123" s="241"/>
      <c r="F123" s="242" t="str">
        <f t="shared" si="1"/>
        <v>-</v>
      </c>
    </row>
    <row r="124" spans="1:6" s="2" customFormat="1" x14ac:dyDescent="0.2">
      <c r="A124" s="238" t="s">
        <v>1015</v>
      </c>
      <c r="B124" s="239" t="s">
        <v>3032</v>
      </c>
      <c r="C124" s="255">
        <v>113</v>
      </c>
      <c r="D124" s="256">
        <f>D125+D132-D139</f>
        <v>0</v>
      </c>
      <c r="E124" s="256">
        <f>E125+E132-E139</f>
        <v>0</v>
      </c>
      <c r="F124" s="257" t="str">
        <f t="shared" si="1"/>
        <v>-</v>
      </c>
    </row>
    <row r="125" spans="1:6" s="2" customFormat="1" x14ac:dyDescent="0.2">
      <c r="A125" s="238"/>
      <c r="B125" s="239" t="s">
        <v>3033</v>
      </c>
      <c r="C125" s="255">
        <v>114</v>
      </c>
      <c r="D125" s="256">
        <f>SUM(D126:D131)</f>
        <v>0</v>
      </c>
      <c r="E125" s="256">
        <f>SUM(E126:E131)</f>
        <v>0</v>
      </c>
      <c r="F125" s="257" t="str">
        <f t="shared" si="1"/>
        <v>-</v>
      </c>
    </row>
    <row r="126" spans="1:6" s="2" customFormat="1" x14ac:dyDescent="0.2">
      <c r="A126" s="238" t="s">
        <v>1016</v>
      </c>
      <c r="B126" s="239" t="s">
        <v>1017</v>
      </c>
      <c r="C126" s="255">
        <v>115</v>
      </c>
      <c r="D126" s="241"/>
      <c r="E126" s="241"/>
      <c r="F126" s="242" t="str">
        <f t="shared" si="1"/>
        <v>-</v>
      </c>
    </row>
    <row r="127" spans="1:6" s="2" customFormat="1" x14ac:dyDescent="0.2">
      <c r="A127" s="238" t="s">
        <v>1018</v>
      </c>
      <c r="B127" s="239" t="s">
        <v>1019</v>
      </c>
      <c r="C127" s="255">
        <v>116</v>
      </c>
      <c r="D127" s="241"/>
      <c r="E127" s="241"/>
      <c r="F127" s="242" t="str">
        <f t="shared" si="1"/>
        <v>-</v>
      </c>
    </row>
    <row r="128" spans="1:6" s="2" customFormat="1" x14ac:dyDescent="0.2">
      <c r="A128" s="238" t="s">
        <v>1020</v>
      </c>
      <c r="B128" s="239" t="s">
        <v>1021</v>
      </c>
      <c r="C128" s="255">
        <v>117</v>
      </c>
      <c r="D128" s="241"/>
      <c r="E128" s="241"/>
      <c r="F128" s="242" t="str">
        <f t="shared" si="1"/>
        <v>-</v>
      </c>
    </row>
    <row r="129" spans="1:6" s="2" customFormat="1" x14ac:dyDescent="0.2">
      <c r="A129" s="238" t="s">
        <v>1022</v>
      </c>
      <c r="B129" s="239" t="s">
        <v>1023</v>
      </c>
      <c r="C129" s="255">
        <v>118</v>
      </c>
      <c r="D129" s="241"/>
      <c r="E129" s="241"/>
      <c r="F129" s="242" t="str">
        <f t="shared" si="1"/>
        <v>-</v>
      </c>
    </row>
    <row r="130" spans="1:6" s="2" customFormat="1" x14ac:dyDescent="0.2">
      <c r="A130" s="238" t="s">
        <v>1024</v>
      </c>
      <c r="B130" s="239" t="s">
        <v>1025</v>
      </c>
      <c r="C130" s="255">
        <v>119</v>
      </c>
      <c r="D130" s="241"/>
      <c r="E130" s="241"/>
      <c r="F130" s="242" t="str">
        <f t="shared" si="1"/>
        <v>-</v>
      </c>
    </row>
    <row r="131" spans="1:6" s="2" customFormat="1" x14ac:dyDescent="0.2">
      <c r="A131" s="238" t="s">
        <v>1026</v>
      </c>
      <c r="B131" s="239" t="s">
        <v>3019</v>
      </c>
      <c r="C131" s="255">
        <v>120</v>
      </c>
      <c r="D131" s="241"/>
      <c r="E131" s="241"/>
      <c r="F131" s="242" t="str">
        <f t="shared" si="1"/>
        <v>-</v>
      </c>
    </row>
    <row r="132" spans="1:6" s="2" customFormat="1" x14ac:dyDescent="0.2">
      <c r="A132" s="238"/>
      <c r="B132" s="239" t="s">
        <v>3034</v>
      </c>
      <c r="C132" s="255">
        <v>121</v>
      </c>
      <c r="D132" s="256">
        <f>SUM(D133:D138)</f>
        <v>0</v>
      </c>
      <c r="E132" s="256">
        <f>SUM(E133:E138)</f>
        <v>0</v>
      </c>
      <c r="F132" s="257" t="str">
        <f t="shared" si="1"/>
        <v>-</v>
      </c>
    </row>
    <row r="133" spans="1:6" s="2" customFormat="1" x14ac:dyDescent="0.2">
      <c r="A133" s="238" t="s">
        <v>3020</v>
      </c>
      <c r="B133" s="239" t="s">
        <v>1017</v>
      </c>
      <c r="C133" s="255">
        <v>122</v>
      </c>
      <c r="D133" s="241"/>
      <c r="E133" s="241"/>
      <c r="F133" s="242" t="str">
        <f t="shared" si="1"/>
        <v>-</v>
      </c>
    </row>
    <row r="134" spans="1:6" s="2" customFormat="1" x14ac:dyDescent="0.2">
      <c r="A134" s="238" t="s">
        <v>3021</v>
      </c>
      <c r="B134" s="239" t="s">
        <v>1019</v>
      </c>
      <c r="C134" s="255">
        <v>123</v>
      </c>
      <c r="D134" s="241"/>
      <c r="E134" s="241"/>
      <c r="F134" s="242" t="str">
        <f t="shared" si="1"/>
        <v>-</v>
      </c>
    </row>
    <row r="135" spans="1:6" s="2" customFormat="1" x14ac:dyDescent="0.2">
      <c r="A135" s="238" t="s">
        <v>3022</v>
      </c>
      <c r="B135" s="239" t="s">
        <v>1021</v>
      </c>
      <c r="C135" s="255">
        <v>124</v>
      </c>
      <c r="D135" s="241"/>
      <c r="E135" s="241"/>
      <c r="F135" s="242" t="str">
        <f t="shared" si="1"/>
        <v>-</v>
      </c>
    </row>
    <row r="136" spans="1:6" s="2" customFormat="1" x14ac:dyDescent="0.2">
      <c r="A136" s="238" t="s">
        <v>3023</v>
      </c>
      <c r="B136" s="239" t="s">
        <v>1023</v>
      </c>
      <c r="C136" s="255">
        <v>125</v>
      </c>
      <c r="D136" s="241"/>
      <c r="E136" s="241"/>
      <c r="F136" s="242" t="str">
        <f t="shared" si="1"/>
        <v>-</v>
      </c>
    </row>
    <row r="137" spans="1:6" s="2" customFormat="1" x14ac:dyDescent="0.2">
      <c r="A137" s="238" t="s">
        <v>3024</v>
      </c>
      <c r="B137" s="239" t="s">
        <v>1025</v>
      </c>
      <c r="C137" s="255">
        <v>126</v>
      </c>
      <c r="D137" s="241"/>
      <c r="E137" s="241"/>
      <c r="F137" s="242" t="str">
        <f t="shared" si="1"/>
        <v>-</v>
      </c>
    </row>
    <row r="138" spans="1:6" s="2" customFormat="1" x14ac:dyDescent="0.2">
      <c r="A138" s="238" t="s">
        <v>3025</v>
      </c>
      <c r="B138" s="239" t="s">
        <v>3019</v>
      </c>
      <c r="C138" s="255">
        <v>127</v>
      </c>
      <c r="D138" s="241"/>
      <c r="E138" s="241"/>
      <c r="F138" s="242" t="str">
        <f t="shared" si="1"/>
        <v>-</v>
      </c>
    </row>
    <row r="139" spans="1:6" s="2" customFormat="1" x14ac:dyDescent="0.2">
      <c r="A139" s="238" t="s">
        <v>3788</v>
      </c>
      <c r="B139" s="239" t="s">
        <v>3789</v>
      </c>
      <c r="C139" s="255">
        <v>128</v>
      </c>
      <c r="D139" s="241"/>
      <c r="E139" s="241"/>
      <c r="F139" s="242" t="str">
        <f t="shared" si="1"/>
        <v>-</v>
      </c>
    </row>
    <row r="140" spans="1:6" s="2" customFormat="1" x14ac:dyDescent="0.2">
      <c r="A140" s="238" t="s">
        <v>3790</v>
      </c>
      <c r="B140" s="239" t="s">
        <v>3035</v>
      </c>
      <c r="C140" s="255">
        <v>129</v>
      </c>
      <c r="D140" s="256">
        <f>D141+D148-D151</f>
        <v>0</v>
      </c>
      <c r="E140" s="256">
        <f>E141+E148-E151</f>
        <v>0</v>
      </c>
      <c r="F140" s="257" t="str">
        <f t="shared" si="1"/>
        <v>-</v>
      </c>
    </row>
    <row r="141" spans="1:6" s="2" customFormat="1" x14ac:dyDescent="0.2">
      <c r="A141" s="238"/>
      <c r="B141" s="239" t="s">
        <v>3036</v>
      </c>
      <c r="C141" s="255">
        <v>130</v>
      </c>
      <c r="D141" s="256">
        <f>SUM(D142:D147)</f>
        <v>0</v>
      </c>
      <c r="E141" s="256">
        <f>SUM(E142:E147)</f>
        <v>0</v>
      </c>
      <c r="F141" s="257" t="str">
        <f t="shared" ref="F141:F211" si="2">IF(D141&gt;0,IF(E141/D141&gt;=100,"&gt;&gt;100",E141/D141*100),"-")</f>
        <v>-</v>
      </c>
    </row>
    <row r="142" spans="1:6" s="2" customFormat="1" x14ac:dyDescent="0.2">
      <c r="A142" s="238" t="s">
        <v>2877</v>
      </c>
      <c r="B142" s="239" t="s">
        <v>1011</v>
      </c>
      <c r="C142" s="255">
        <v>131</v>
      </c>
      <c r="D142" s="241"/>
      <c r="E142" s="241"/>
      <c r="F142" s="242" t="str">
        <f t="shared" si="2"/>
        <v>-</v>
      </c>
    </row>
    <row r="143" spans="1:6" s="2" customFormat="1" x14ac:dyDescent="0.2">
      <c r="A143" s="238" t="s">
        <v>2878</v>
      </c>
      <c r="B143" s="239" t="s">
        <v>3168</v>
      </c>
      <c r="C143" s="255">
        <v>132</v>
      </c>
      <c r="D143" s="241"/>
      <c r="E143" s="241"/>
      <c r="F143" s="242" t="str">
        <f t="shared" si="2"/>
        <v>-</v>
      </c>
    </row>
    <row r="144" spans="1:6" s="2" customFormat="1" x14ac:dyDescent="0.2">
      <c r="A144" s="238" t="s">
        <v>2879</v>
      </c>
      <c r="B144" s="260" t="s">
        <v>2565</v>
      </c>
      <c r="C144" s="255">
        <v>133</v>
      </c>
      <c r="D144" s="241"/>
      <c r="E144" s="241"/>
      <c r="F144" s="242" t="str">
        <f t="shared" si="2"/>
        <v>-</v>
      </c>
    </row>
    <row r="145" spans="1:6" s="2" customFormat="1" x14ac:dyDescent="0.2">
      <c r="A145" s="238" t="s">
        <v>3791</v>
      </c>
      <c r="B145" s="260" t="s">
        <v>320</v>
      </c>
      <c r="C145" s="255">
        <v>134</v>
      </c>
      <c r="D145" s="241"/>
      <c r="E145" s="241"/>
      <c r="F145" s="242" t="str">
        <f t="shared" si="2"/>
        <v>-</v>
      </c>
    </row>
    <row r="146" spans="1:6" s="2" customFormat="1" x14ac:dyDescent="0.2">
      <c r="A146" s="238" t="s">
        <v>3792</v>
      </c>
      <c r="B146" s="261" t="s">
        <v>2576</v>
      </c>
      <c r="C146" s="255">
        <v>135</v>
      </c>
      <c r="D146" s="241"/>
      <c r="E146" s="241"/>
      <c r="F146" s="242" t="str">
        <f t="shared" si="2"/>
        <v>-</v>
      </c>
    </row>
    <row r="147" spans="1:6" s="2" customFormat="1" x14ac:dyDescent="0.2">
      <c r="A147" s="238" t="s">
        <v>3793</v>
      </c>
      <c r="B147" s="260" t="s">
        <v>3566</v>
      </c>
      <c r="C147" s="255">
        <v>136</v>
      </c>
      <c r="D147" s="241"/>
      <c r="E147" s="241"/>
      <c r="F147" s="242" t="str">
        <f t="shared" si="2"/>
        <v>-</v>
      </c>
    </row>
    <row r="148" spans="1:6" s="2" customFormat="1" x14ac:dyDescent="0.2">
      <c r="A148" s="238"/>
      <c r="B148" s="239" t="s">
        <v>3037</v>
      </c>
      <c r="C148" s="255">
        <v>137</v>
      </c>
      <c r="D148" s="256">
        <f>SUM(D149:D150)</f>
        <v>0</v>
      </c>
      <c r="E148" s="256">
        <f>SUM(E149:E150)</f>
        <v>0</v>
      </c>
      <c r="F148" s="257" t="str">
        <f t="shared" si="2"/>
        <v>-</v>
      </c>
    </row>
    <row r="149" spans="1:6" s="2" customFormat="1" x14ac:dyDescent="0.2">
      <c r="A149" s="238" t="s">
        <v>2652</v>
      </c>
      <c r="B149" s="239" t="s">
        <v>3573</v>
      </c>
      <c r="C149" s="255">
        <v>138</v>
      </c>
      <c r="D149" s="241"/>
      <c r="E149" s="241"/>
      <c r="F149" s="242" t="str">
        <f t="shared" si="2"/>
        <v>-</v>
      </c>
    </row>
    <row r="150" spans="1:6" s="2" customFormat="1" x14ac:dyDescent="0.2">
      <c r="A150" s="238" t="s">
        <v>2653</v>
      </c>
      <c r="B150" s="239" t="s">
        <v>3871</v>
      </c>
      <c r="C150" s="255">
        <v>139</v>
      </c>
      <c r="D150" s="241"/>
      <c r="E150" s="241"/>
      <c r="F150" s="242" t="str">
        <f t="shared" si="2"/>
        <v>-</v>
      </c>
    </row>
    <row r="151" spans="1:6" s="2" customFormat="1" x14ac:dyDescent="0.2">
      <c r="A151" s="238" t="s">
        <v>2654</v>
      </c>
      <c r="B151" s="239" t="s">
        <v>2655</v>
      </c>
      <c r="C151" s="255">
        <v>140</v>
      </c>
      <c r="D151" s="241"/>
      <c r="E151" s="241"/>
      <c r="F151" s="242" t="str">
        <f t="shared" si="2"/>
        <v>-</v>
      </c>
    </row>
    <row r="152" spans="1:6" s="2" customFormat="1" x14ac:dyDescent="0.2">
      <c r="A152" s="238" t="s">
        <v>2656</v>
      </c>
      <c r="B152" s="239" t="s">
        <v>1251</v>
      </c>
      <c r="C152" s="240">
        <v>141</v>
      </c>
      <c r="D152" s="256">
        <f>SUM(D153:D155)+SUM(D164:D168)-D169</f>
        <v>0</v>
      </c>
      <c r="E152" s="256">
        <f>SUM(E153:E155)+SUM(E164:E168)-E169</f>
        <v>0</v>
      </c>
      <c r="F152" s="257" t="str">
        <f t="shared" si="2"/>
        <v>-</v>
      </c>
    </row>
    <row r="153" spans="1:6" s="2" customFormat="1" x14ac:dyDescent="0.2">
      <c r="A153" s="238" t="s">
        <v>2657</v>
      </c>
      <c r="B153" s="239" t="s">
        <v>2658</v>
      </c>
      <c r="C153" s="255">
        <v>142</v>
      </c>
      <c r="D153" s="241"/>
      <c r="E153" s="241"/>
      <c r="F153" s="242" t="str">
        <f t="shared" si="2"/>
        <v>-</v>
      </c>
    </row>
    <row r="154" spans="1:6" s="2" customFormat="1" x14ac:dyDescent="0.2">
      <c r="A154" s="238" t="s">
        <v>2771</v>
      </c>
      <c r="B154" s="260" t="s">
        <v>1542</v>
      </c>
      <c r="C154" s="255">
        <v>143</v>
      </c>
      <c r="D154" s="241"/>
      <c r="E154" s="241"/>
      <c r="F154" s="242" t="str">
        <f t="shared" si="2"/>
        <v>-</v>
      </c>
    </row>
    <row r="155" spans="1:6" s="2" customFormat="1" ht="24" x14ac:dyDescent="0.2">
      <c r="A155" s="238" t="s">
        <v>916</v>
      </c>
      <c r="B155" s="239" t="s">
        <v>1252</v>
      </c>
      <c r="C155" s="240">
        <v>144</v>
      </c>
      <c r="D155" s="256">
        <f>SUM(D156:D163)</f>
        <v>0</v>
      </c>
      <c r="E155" s="256">
        <f>SUM(E156:E163)</f>
        <v>0</v>
      </c>
      <c r="F155" s="257" t="str">
        <f t="shared" si="2"/>
        <v>-</v>
      </c>
    </row>
    <row r="156" spans="1:6" s="2" customFormat="1" x14ac:dyDescent="0.2">
      <c r="A156" s="238" t="s">
        <v>3164</v>
      </c>
      <c r="B156" s="260" t="s">
        <v>3165</v>
      </c>
      <c r="C156" s="255">
        <v>145</v>
      </c>
      <c r="D156" s="241"/>
      <c r="E156" s="241"/>
      <c r="F156" s="242" t="str">
        <f t="shared" si="2"/>
        <v>-</v>
      </c>
    </row>
    <row r="157" spans="1:6" s="2" customFormat="1" x14ac:dyDescent="0.2">
      <c r="A157" s="238" t="s">
        <v>3166</v>
      </c>
      <c r="B157" s="260" t="s">
        <v>384</v>
      </c>
      <c r="C157" s="255">
        <v>146</v>
      </c>
      <c r="D157" s="241"/>
      <c r="E157" s="241"/>
      <c r="F157" s="242" t="str">
        <f t="shared" si="2"/>
        <v>-</v>
      </c>
    </row>
    <row r="158" spans="1:6" s="2" customFormat="1" x14ac:dyDescent="0.2">
      <c r="A158" s="238" t="s">
        <v>385</v>
      </c>
      <c r="B158" s="260" t="s">
        <v>285</v>
      </c>
      <c r="C158" s="255">
        <v>147</v>
      </c>
      <c r="D158" s="241"/>
      <c r="E158" s="241"/>
      <c r="F158" s="242" t="str">
        <f t="shared" si="2"/>
        <v>-</v>
      </c>
    </row>
    <row r="159" spans="1:6" s="2" customFormat="1" x14ac:dyDescent="0.2">
      <c r="A159" s="238" t="s">
        <v>286</v>
      </c>
      <c r="B159" s="260" t="s">
        <v>1162</v>
      </c>
      <c r="C159" s="255">
        <v>148</v>
      </c>
      <c r="D159" s="241"/>
      <c r="E159" s="241"/>
      <c r="F159" s="242" t="str">
        <f t="shared" si="2"/>
        <v>-</v>
      </c>
    </row>
    <row r="160" spans="1:6" s="2" customFormat="1" x14ac:dyDescent="0.2">
      <c r="A160" s="238" t="s">
        <v>1163</v>
      </c>
      <c r="B160" s="260" t="s">
        <v>1164</v>
      </c>
      <c r="C160" s="255">
        <v>149</v>
      </c>
      <c r="D160" s="241"/>
      <c r="E160" s="241"/>
      <c r="F160" s="242" t="str">
        <f t="shared" si="2"/>
        <v>-</v>
      </c>
    </row>
    <row r="161" spans="1:6" s="2" customFormat="1" x14ac:dyDescent="0.2">
      <c r="A161" s="238" t="s">
        <v>1165</v>
      </c>
      <c r="B161" s="260" t="s">
        <v>2099</v>
      </c>
      <c r="C161" s="255">
        <v>150</v>
      </c>
      <c r="D161" s="241"/>
      <c r="E161" s="241"/>
      <c r="F161" s="242" t="str">
        <f t="shared" si="2"/>
        <v>-</v>
      </c>
    </row>
    <row r="162" spans="1:6" s="2" customFormat="1" ht="17.25" customHeight="1" x14ac:dyDescent="0.2">
      <c r="A162" s="238" t="s">
        <v>1033</v>
      </c>
      <c r="B162" s="239" t="s">
        <v>1034</v>
      </c>
      <c r="C162" s="240">
        <v>151</v>
      </c>
      <c r="D162" s="241"/>
      <c r="E162" s="241"/>
      <c r="F162" s="242" t="str">
        <f>IF(D162&gt;0,IF(E162/D162&gt;=100,"&gt;&gt;100",E162/D162*100),"-")</f>
        <v>-</v>
      </c>
    </row>
    <row r="163" spans="1:6" s="2" customFormat="1" x14ac:dyDescent="0.2">
      <c r="A163" s="238" t="s">
        <v>2100</v>
      </c>
      <c r="B163" s="260" t="s">
        <v>1341</v>
      </c>
      <c r="C163" s="255">
        <v>152</v>
      </c>
      <c r="D163" s="241"/>
      <c r="E163" s="241"/>
      <c r="F163" s="242" t="str">
        <f t="shared" si="2"/>
        <v>-</v>
      </c>
    </row>
    <row r="164" spans="1:6" s="2" customFormat="1" x14ac:dyDescent="0.2">
      <c r="A164" s="238" t="s">
        <v>1543</v>
      </c>
      <c r="B164" s="260" t="s">
        <v>3563</v>
      </c>
      <c r="C164" s="255">
        <v>153</v>
      </c>
      <c r="D164" s="241"/>
      <c r="E164" s="241"/>
      <c r="F164" s="242" t="str">
        <f t="shared" si="2"/>
        <v>-</v>
      </c>
    </row>
    <row r="165" spans="1:6" s="2" customFormat="1" x14ac:dyDescent="0.2">
      <c r="A165" s="238" t="s">
        <v>221</v>
      </c>
      <c r="B165" s="261" t="s">
        <v>917</v>
      </c>
      <c r="C165" s="255">
        <v>154</v>
      </c>
      <c r="D165" s="241"/>
      <c r="E165" s="241"/>
      <c r="F165" s="242" t="str">
        <f t="shared" si="2"/>
        <v>-</v>
      </c>
    </row>
    <row r="166" spans="1:6" s="2" customFormat="1" ht="24" x14ac:dyDescent="0.2">
      <c r="A166" s="238" t="s">
        <v>222</v>
      </c>
      <c r="B166" s="239" t="s">
        <v>1253</v>
      </c>
      <c r="C166" s="240">
        <v>155</v>
      </c>
      <c r="D166" s="241"/>
      <c r="E166" s="241"/>
      <c r="F166" s="242" t="str">
        <f t="shared" si="2"/>
        <v>-</v>
      </c>
    </row>
    <row r="167" spans="1:6" s="2" customFormat="1" ht="24" x14ac:dyDescent="0.2">
      <c r="A167" s="238" t="s">
        <v>2325</v>
      </c>
      <c r="B167" s="239" t="s">
        <v>1254</v>
      </c>
      <c r="C167" s="240">
        <v>156</v>
      </c>
      <c r="D167" s="241"/>
      <c r="E167" s="241"/>
      <c r="F167" s="242" t="str">
        <f t="shared" si="2"/>
        <v>-</v>
      </c>
    </row>
    <row r="168" spans="1:6" s="2" customFormat="1" x14ac:dyDescent="0.2">
      <c r="A168" s="238" t="s">
        <v>2585</v>
      </c>
      <c r="B168" s="260" t="s">
        <v>2880</v>
      </c>
      <c r="C168" s="255">
        <v>157</v>
      </c>
      <c r="D168" s="241"/>
      <c r="E168" s="241"/>
      <c r="F168" s="242" t="str">
        <f t="shared" si="2"/>
        <v>-</v>
      </c>
    </row>
    <row r="169" spans="1:6" s="2" customFormat="1" x14ac:dyDescent="0.2">
      <c r="A169" s="238" t="s">
        <v>223</v>
      </c>
      <c r="B169" s="260" t="s">
        <v>224</v>
      </c>
      <c r="C169" s="255">
        <v>158</v>
      </c>
      <c r="D169" s="241"/>
      <c r="E169" s="241"/>
      <c r="F169" s="242" t="str">
        <f t="shared" si="2"/>
        <v>-</v>
      </c>
    </row>
    <row r="170" spans="1:6" s="2" customFormat="1" x14ac:dyDescent="0.2">
      <c r="A170" s="238" t="s">
        <v>225</v>
      </c>
      <c r="B170" s="239" t="s">
        <v>1255</v>
      </c>
      <c r="C170" s="240">
        <v>159</v>
      </c>
      <c r="D170" s="256">
        <f>SUM(D171:D174)-D175</f>
        <v>0</v>
      </c>
      <c r="E170" s="256">
        <f>SUM(E171:E174)-E175</f>
        <v>0</v>
      </c>
      <c r="F170" s="242" t="str">
        <f t="shared" si="2"/>
        <v>-</v>
      </c>
    </row>
    <row r="171" spans="1:6" s="2" customFormat="1" x14ac:dyDescent="0.2">
      <c r="A171" s="238" t="s">
        <v>3505</v>
      </c>
      <c r="B171" s="260" t="s">
        <v>3510</v>
      </c>
      <c r="C171" s="255">
        <v>160</v>
      </c>
      <c r="D171" s="241"/>
      <c r="E171" s="241"/>
      <c r="F171" s="242" t="str">
        <f t="shared" si="2"/>
        <v>-</v>
      </c>
    </row>
    <row r="172" spans="1:6" s="2" customFormat="1" x14ac:dyDescent="0.2">
      <c r="A172" s="238" t="s">
        <v>3506</v>
      </c>
      <c r="B172" s="260" t="s">
        <v>3511</v>
      </c>
      <c r="C172" s="255">
        <v>161</v>
      </c>
      <c r="D172" s="241"/>
      <c r="E172" s="241"/>
      <c r="F172" s="242" t="str">
        <f t="shared" si="2"/>
        <v>-</v>
      </c>
    </row>
    <row r="173" spans="1:6" s="2" customFormat="1" x14ac:dyDescent="0.2">
      <c r="A173" s="238" t="s">
        <v>3507</v>
      </c>
      <c r="B173" s="260" t="s">
        <v>3512</v>
      </c>
      <c r="C173" s="255">
        <v>162</v>
      </c>
      <c r="D173" s="241"/>
      <c r="E173" s="241"/>
      <c r="F173" s="242" t="str">
        <f t="shared" si="2"/>
        <v>-</v>
      </c>
    </row>
    <row r="174" spans="1:6" s="2" customFormat="1" x14ac:dyDescent="0.2">
      <c r="A174" s="238" t="s">
        <v>3508</v>
      </c>
      <c r="B174" s="260" t="s">
        <v>3513</v>
      </c>
      <c r="C174" s="255">
        <v>163</v>
      </c>
      <c r="D174" s="241"/>
      <c r="E174" s="241"/>
      <c r="F174" s="242" t="str">
        <f t="shared" si="2"/>
        <v>-</v>
      </c>
    </row>
    <row r="175" spans="1:6" s="2" customFormat="1" x14ac:dyDescent="0.2">
      <c r="A175" s="238" t="s">
        <v>3509</v>
      </c>
      <c r="B175" s="260" t="s">
        <v>3514</v>
      </c>
      <c r="C175" s="255">
        <v>164</v>
      </c>
      <c r="D175" s="241"/>
      <c r="E175" s="241"/>
      <c r="F175" s="242" t="str">
        <f t="shared" si="2"/>
        <v>-</v>
      </c>
    </row>
    <row r="176" spans="1:6" s="2" customFormat="1" x14ac:dyDescent="0.2">
      <c r="A176" s="238" t="s">
        <v>227</v>
      </c>
      <c r="B176" s="239" t="s">
        <v>1256</v>
      </c>
      <c r="C176" s="240">
        <v>165</v>
      </c>
      <c r="D176" s="256">
        <f>SUM(D177:D179)</f>
        <v>0</v>
      </c>
      <c r="E176" s="256">
        <f>SUM(E177:E179)</f>
        <v>0</v>
      </c>
      <c r="F176" s="257" t="str">
        <f t="shared" si="2"/>
        <v>-</v>
      </c>
    </row>
    <row r="177" spans="1:6" s="2" customFormat="1" x14ac:dyDescent="0.2">
      <c r="A177" s="238" t="s">
        <v>985</v>
      </c>
      <c r="B177" s="239" t="s">
        <v>1257</v>
      </c>
      <c r="C177" s="240">
        <v>166</v>
      </c>
      <c r="D177" s="241"/>
      <c r="E177" s="241"/>
      <c r="F177" s="242" t="str">
        <f t="shared" si="2"/>
        <v>-</v>
      </c>
    </row>
    <row r="178" spans="1:6" s="2" customFormat="1" x14ac:dyDescent="0.2">
      <c r="A178" s="238" t="s">
        <v>228</v>
      </c>
      <c r="B178" s="239" t="s">
        <v>229</v>
      </c>
      <c r="C178" s="255">
        <v>167</v>
      </c>
      <c r="D178" s="241"/>
      <c r="E178" s="241"/>
      <c r="F178" s="242" t="str">
        <f t="shared" si="2"/>
        <v>-</v>
      </c>
    </row>
    <row r="179" spans="1:6" s="2" customFormat="1" x14ac:dyDescent="0.2">
      <c r="A179" s="238" t="s">
        <v>1342</v>
      </c>
      <c r="B179" s="239" t="s">
        <v>1343</v>
      </c>
      <c r="C179" s="255">
        <v>168</v>
      </c>
      <c r="D179" s="241"/>
      <c r="E179" s="241"/>
      <c r="F179" s="242" t="str">
        <f t="shared" si="2"/>
        <v>-</v>
      </c>
    </row>
    <row r="180" spans="1:6" s="2" customFormat="1" x14ac:dyDescent="0.2">
      <c r="A180" s="238"/>
      <c r="B180" s="239" t="s">
        <v>342</v>
      </c>
      <c r="C180" s="240">
        <v>169</v>
      </c>
      <c r="D180" s="256">
        <f>D181+D242</f>
        <v>0</v>
      </c>
      <c r="E180" s="256">
        <f>E181+E242</f>
        <v>0</v>
      </c>
      <c r="F180" s="257" t="str">
        <f t="shared" si="2"/>
        <v>-</v>
      </c>
    </row>
    <row r="181" spans="1:6" s="2" customFormat="1" x14ac:dyDescent="0.2">
      <c r="A181" s="238" t="s">
        <v>230</v>
      </c>
      <c r="B181" s="239" t="s">
        <v>343</v>
      </c>
      <c r="C181" s="240">
        <v>170</v>
      </c>
      <c r="D181" s="256">
        <f>D182+D194+D195+D211+D239</f>
        <v>0</v>
      </c>
      <c r="E181" s="256">
        <f>E182+E194+E195+E211+E239</f>
        <v>0</v>
      </c>
      <c r="F181" s="257" t="str">
        <f t="shared" si="2"/>
        <v>-</v>
      </c>
    </row>
    <row r="182" spans="1:6" s="2" customFormat="1" x14ac:dyDescent="0.2">
      <c r="A182" s="238" t="s">
        <v>3840</v>
      </c>
      <c r="B182" s="239" t="s">
        <v>344</v>
      </c>
      <c r="C182" s="240">
        <v>171</v>
      </c>
      <c r="D182" s="256">
        <f>SUM(D183:D185)+SUM(D189:D193)</f>
        <v>0</v>
      </c>
      <c r="E182" s="256">
        <f>SUM(E183:E185)+SUM(E189:E193)</f>
        <v>0</v>
      </c>
      <c r="F182" s="257" t="str">
        <f t="shared" si="2"/>
        <v>-</v>
      </c>
    </row>
    <row r="183" spans="1:6" s="2" customFormat="1" x14ac:dyDescent="0.2">
      <c r="A183" s="238" t="s">
        <v>3841</v>
      </c>
      <c r="B183" s="239" t="s">
        <v>3842</v>
      </c>
      <c r="C183" s="255">
        <v>172</v>
      </c>
      <c r="D183" s="241"/>
      <c r="E183" s="241"/>
      <c r="F183" s="242" t="str">
        <f t="shared" si="2"/>
        <v>-</v>
      </c>
    </row>
    <row r="184" spans="1:6" s="2" customFormat="1" x14ac:dyDescent="0.2">
      <c r="A184" s="238" t="s">
        <v>3843</v>
      </c>
      <c r="B184" s="239" t="s">
        <v>3844</v>
      </c>
      <c r="C184" s="255">
        <v>173</v>
      </c>
      <c r="D184" s="241"/>
      <c r="E184" s="241"/>
      <c r="F184" s="242" t="str">
        <f t="shared" si="2"/>
        <v>-</v>
      </c>
    </row>
    <row r="185" spans="1:6" s="2" customFormat="1" x14ac:dyDescent="0.2">
      <c r="A185" s="238" t="s">
        <v>3845</v>
      </c>
      <c r="B185" s="239" t="s">
        <v>345</v>
      </c>
      <c r="C185" s="240">
        <v>174</v>
      </c>
      <c r="D185" s="256">
        <f>SUM(D186:D188)</f>
        <v>0</v>
      </c>
      <c r="E185" s="256">
        <f>SUM(E186:E188)</f>
        <v>0</v>
      </c>
      <c r="F185" s="257" t="str">
        <f t="shared" si="2"/>
        <v>-</v>
      </c>
    </row>
    <row r="186" spans="1:6" s="2" customFormat="1" x14ac:dyDescent="0.2">
      <c r="A186" s="238" t="s">
        <v>2431</v>
      </c>
      <c r="B186" s="239" t="s">
        <v>2432</v>
      </c>
      <c r="C186" s="255">
        <v>175</v>
      </c>
      <c r="D186" s="241"/>
      <c r="E186" s="241"/>
      <c r="F186" s="242" t="str">
        <f t="shared" si="2"/>
        <v>-</v>
      </c>
    </row>
    <row r="187" spans="1:6" s="2" customFormat="1" x14ac:dyDescent="0.2">
      <c r="A187" s="238" t="s">
        <v>2433</v>
      </c>
      <c r="B187" s="239" t="s">
        <v>2706</v>
      </c>
      <c r="C187" s="255">
        <v>176</v>
      </c>
      <c r="D187" s="241"/>
      <c r="E187" s="241"/>
      <c r="F187" s="242" t="str">
        <f t="shared" si="2"/>
        <v>-</v>
      </c>
    </row>
    <row r="188" spans="1:6" s="2" customFormat="1" x14ac:dyDescent="0.2">
      <c r="A188" s="238" t="s">
        <v>2707</v>
      </c>
      <c r="B188" s="239" t="s">
        <v>2708</v>
      </c>
      <c r="C188" s="255">
        <v>177</v>
      </c>
      <c r="D188" s="241"/>
      <c r="E188" s="241"/>
      <c r="F188" s="242" t="str">
        <f t="shared" si="2"/>
        <v>-</v>
      </c>
    </row>
    <row r="189" spans="1:6" s="2" customFormat="1" x14ac:dyDescent="0.2">
      <c r="A189" s="238" t="s">
        <v>3847</v>
      </c>
      <c r="B189" s="260" t="s">
        <v>3848</v>
      </c>
      <c r="C189" s="255">
        <v>178</v>
      </c>
      <c r="D189" s="241"/>
      <c r="E189" s="241"/>
      <c r="F189" s="242" t="str">
        <f t="shared" si="2"/>
        <v>-</v>
      </c>
    </row>
    <row r="190" spans="1:6" s="2" customFormat="1" ht="24" x14ac:dyDescent="0.2">
      <c r="A190" s="238" t="s">
        <v>1035</v>
      </c>
      <c r="B190" s="239" t="s">
        <v>1036</v>
      </c>
      <c r="C190" s="240">
        <v>179</v>
      </c>
      <c r="D190" s="241"/>
      <c r="E190" s="241"/>
      <c r="F190" s="242" t="str">
        <f>IF(D190&gt;0,IF(E190/D190&gt;=100,"&gt;&gt;100",E190/D190*100),"-")</f>
        <v>-</v>
      </c>
    </row>
    <row r="191" spans="1:6" s="2" customFormat="1" x14ac:dyDescent="0.2">
      <c r="A191" s="238" t="s">
        <v>3849</v>
      </c>
      <c r="B191" s="260" t="s">
        <v>3850</v>
      </c>
      <c r="C191" s="255">
        <v>180</v>
      </c>
      <c r="D191" s="241"/>
      <c r="E191" s="241"/>
      <c r="F191" s="242" t="str">
        <f t="shared" si="2"/>
        <v>-</v>
      </c>
    </row>
    <row r="192" spans="1:6" s="2" customFormat="1" x14ac:dyDescent="0.2">
      <c r="A192" s="238" t="s">
        <v>3851</v>
      </c>
      <c r="B192" s="260" t="s">
        <v>2527</v>
      </c>
      <c r="C192" s="255">
        <v>181</v>
      </c>
      <c r="D192" s="241"/>
      <c r="E192" s="241"/>
      <c r="F192" s="242" t="str">
        <f t="shared" si="2"/>
        <v>-</v>
      </c>
    </row>
    <row r="193" spans="1:6" s="2" customFormat="1" x14ac:dyDescent="0.2">
      <c r="A193" s="238" t="s">
        <v>3852</v>
      </c>
      <c r="B193" s="260" t="s">
        <v>649</v>
      </c>
      <c r="C193" s="255">
        <v>182</v>
      </c>
      <c r="D193" s="241"/>
      <c r="E193" s="241"/>
      <c r="F193" s="242" t="str">
        <f t="shared" si="2"/>
        <v>-</v>
      </c>
    </row>
    <row r="194" spans="1:6" s="2" customFormat="1" x14ac:dyDescent="0.2">
      <c r="A194" s="238" t="s">
        <v>650</v>
      </c>
      <c r="B194" s="239" t="s">
        <v>651</v>
      </c>
      <c r="C194" s="255">
        <v>183</v>
      </c>
      <c r="D194" s="241"/>
      <c r="E194" s="241"/>
      <c r="F194" s="242" t="str">
        <f t="shared" si="2"/>
        <v>-</v>
      </c>
    </row>
    <row r="195" spans="1:6" s="2" customFormat="1" x14ac:dyDescent="0.2">
      <c r="A195" s="238" t="s">
        <v>652</v>
      </c>
      <c r="B195" s="239" t="s">
        <v>346</v>
      </c>
      <c r="C195" s="240">
        <v>184</v>
      </c>
      <c r="D195" s="256">
        <f>D196+D203-D210</f>
        <v>0</v>
      </c>
      <c r="E195" s="256">
        <f>E196+E203-E210</f>
        <v>0</v>
      </c>
      <c r="F195" s="257" t="str">
        <f t="shared" si="2"/>
        <v>-</v>
      </c>
    </row>
    <row r="196" spans="1:6" s="2" customFormat="1" x14ac:dyDescent="0.2">
      <c r="A196" s="238"/>
      <c r="B196" s="239" t="s">
        <v>347</v>
      </c>
      <c r="C196" s="240">
        <v>185</v>
      </c>
      <c r="D196" s="256">
        <f>SUM(D197:D202)</f>
        <v>0</v>
      </c>
      <c r="E196" s="256">
        <f>SUM(E197:E202)</f>
        <v>0</v>
      </c>
      <c r="F196" s="257" t="str">
        <f t="shared" si="2"/>
        <v>-</v>
      </c>
    </row>
    <row r="197" spans="1:6" s="2" customFormat="1" x14ac:dyDescent="0.2">
      <c r="A197" s="238" t="s">
        <v>653</v>
      </c>
      <c r="B197" s="239" t="s">
        <v>654</v>
      </c>
      <c r="C197" s="255">
        <v>186</v>
      </c>
      <c r="D197" s="241"/>
      <c r="E197" s="241"/>
      <c r="F197" s="242" t="str">
        <f t="shared" si="2"/>
        <v>-</v>
      </c>
    </row>
    <row r="198" spans="1:6" s="2" customFormat="1" x14ac:dyDescent="0.2">
      <c r="A198" s="238" t="s">
        <v>2232</v>
      </c>
      <c r="B198" s="239" t="s">
        <v>2233</v>
      </c>
      <c r="C198" s="255">
        <v>187</v>
      </c>
      <c r="D198" s="241"/>
      <c r="E198" s="241"/>
      <c r="F198" s="242" t="str">
        <f t="shared" si="2"/>
        <v>-</v>
      </c>
    </row>
    <row r="199" spans="1:6" s="2" customFormat="1" x14ac:dyDescent="0.2">
      <c r="A199" s="238" t="s">
        <v>2234</v>
      </c>
      <c r="B199" s="239" t="s">
        <v>2235</v>
      </c>
      <c r="C199" s="255">
        <v>188</v>
      </c>
      <c r="D199" s="241"/>
      <c r="E199" s="241"/>
      <c r="F199" s="242" t="str">
        <f t="shared" si="2"/>
        <v>-</v>
      </c>
    </row>
    <row r="200" spans="1:6" s="2" customFormat="1" x14ac:dyDescent="0.2">
      <c r="A200" s="238" t="s">
        <v>2236</v>
      </c>
      <c r="B200" s="239" t="s">
        <v>2237</v>
      </c>
      <c r="C200" s="255">
        <v>189</v>
      </c>
      <c r="D200" s="241"/>
      <c r="E200" s="241"/>
      <c r="F200" s="242" t="str">
        <f t="shared" si="2"/>
        <v>-</v>
      </c>
    </row>
    <row r="201" spans="1:6" s="2" customFormat="1" x14ac:dyDescent="0.2">
      <c r="A201" s="238" t="s">
        <v>2238</v>
      </c>
      <c r="B201" s="239" t="s">
        <v>2239</v>
      </c>
      <c r="C201" s="255">
        <v>190</v>
      </c>
      <c r="D201" s="241"/>
      <c r="E201" s="241"/>
      <c r="F201" s="242" t="str">
        <f t="shared" si="2"/>
        <v>-</v>
      </c>
    </row>
    <row r="202" spans="1:6" s="2" customFormat="1" x14ac:dyDescent="0.2">
      <c r="A202" s="238" t="s">
        <v>2240</v>
      </c>
      <c r="B202" s="239" t="s">
        <v>2241</v>
      </c>
      <c r="C202" s="255">
        <v>191</v>
      </c>
      <c r="D202" s="241"/>
      <c r="E202" s="241"/>
      <c r="F202" s="242" t="str">
        <f t="shared" si="2"/>
        <v>-</v>
      </c>
    </row>
    <row r="203" spans="1:6" s="2" customFormat="1" x14ac:dyDescent="0.2">
      <c r="A203" s="238"/>
      <c r="B203" s="239" t="s">
        <v>348</v>
      </c>
      <c r="C203" s="240">
        <v>192</v>
      </c>
      <c r="D203" s="256">
        <f>SUM(D204:D209)</f>
        <v>0</v>
      </c>
      <c r="E203" s="256">
        <f>SUM(E204:E209)</f>
        <v>0</v>
      </c>
      <c r="F203" s="257" t="str">
        <f t="shared" si="2"/>
        <v>-</v>
      </c>
    </row>
    <row r="204" spans="1:6" s="2" customFormat="1" x14ac:dyDescent="0.2">
      <c r="A204" s="238" t="s">
        <v>2242</v>
      </c>
      <c r="B204" s="239" t="s">
        <v>654</v>
      </c>
      <c r="C204" s="255">
        <v>193</v>
      </c>
      <c r="D204" s="241"/>
      <c r="E204" s="241"/>
      <c r="F204" s="242" t="str">
        <f t="shared" si="2"/>
        <v>-</v>
      </c>
    </row>
    <row r="205" spans="1:6" s="2" customFormat="1" x14ac:dyDescent="0.2">
      <c r="A205" s="238" t="s">
        <v>2243</v>
      </c>
      <c r="B205" s="260" t="s">
        <v>2233</v>
      </c>
      <c r="C205" s="255">
        <v>194</v>
      </c>
      <c r="D205" s="241"/>
      <c r="E205" s="241"/>
      <c r="F205" s="242" t="str">
        <f t="shared" si="2"/>
        <v>-</v>
      </c>
    </row>
    <row r="206" spans="1:6" s="2" customFormat="1" x14ac:dyDescent="0.2">
      <c r="A206" s="238" t="s">
        <v>2244</v>
      </c>
      <c r="B206" s="260" t="s">
        <v>2235</v>
      </c>
      <c r="C206" s="255">
        <v>195</v>
      </c>
      <c r="D206" s="241"/>
      <c r="E206" s="241"/>
      <c r="F206" s="242" t="str">
        <f t="shared" si="2"/>
        <v>-</v>
      </c>
    </row>
    <row r="207" spans="1:6" s="2" customFormat="1" x14ac:dyDescent="0.2">
      <c r="A207" s="238" t="s">
        <v>2245</v>
      </c>
      <c r="B207" s="260" t="s">
        <v>2237</v>
      </c>
      <c r="C207" s="255">
        <v>196</v>
      </c>
      <c r="D207" s="241"/>
      <c r="E207" s="241"/>
      <c r="F207" s="242" t="str">
        <f t="shared" si="2"/>
        <v>-</v>
      </c>
    </row>
    <row r="208" spans="1:6" s="2" customFormat="1" x14ac:dyDescent="0.2">
      <c r="A208" s="238" t="s">
        <v>2246</v>
      </c>
      <c r="B208" s="260" t="s">
        <v>2239</v>
      </c>
      <c r="C208" s="255">
        <v>197</v>
      </c>
      <c r="D208" s="241"/>
      <c r="E208" s="241"/>
      <c r="F208" s="242" t="str">
        <f t="shared" si="2"/>
        <v>-</v>
      </c>
    </row>
    <row r="209" spans="1:6" s="2" customFormat="1" x14ac:dyDescent="0.2">
      <c r="A209" s="238" t="s">
        <v>2247</v>
      </c>
      <c r="B209" s="260" t="s">
        <v>2241</v>
      </c>
      <c r="C209" s="255">
        <v>198</v>
      </c>
      <c r="D209" s="241"/>
      <c r="E209" s="241"/>
      <c r="F209" s="242" t="str">
        <f t="shared" si="2"/>
        <v>-</v>
      </c>
    </row>
    <row r="210" spans="1:6" s="2" customFormat="1" x14ac:dyDescent="0.2">
      <c r="A210" s="238" t="s">
        <v>2248</v>
      </c>
      <c r="B210" s="239" t="s">
        <v>2249</v>
      </c>
      <c r="C210" s="255">
        <v>199</v>
      </c>
      <c r="D210" s="241"/>
      <c r="E210" s="241"/>
      <c r="F210" s="242" t="str">
        <f t="shared" si="2"/>
        <v>-</v>
      </c>
    </row>
    <row r="211" spans="1:6" s="2" customFormat="1" x14ac:dyDescent="0.2">
      <c r="A211" s="238" t="s">
        <v>2250</v>
      </c>
      <c r="B211" s="239" t="s">
        <v>349</v>
      </c>
      <c r="C211" s="240">
        <v>200</v>
      </c>
      <c r="D211" s="256">
        <f>D212+D229</f>
        <v>0</v>
      </c>
      <c r="E211" s="256">
        <f>E212+E229</f>
        <v>0</v>
      </c>
      <c r="F211" s="257" t="str">
        <f t="shared" si="2"/>
        <v>-</v>
      </c>
    </row>
    <row r="212" spans="1:6" s="2" customFormat="1" x14ac:dyDescent="0.2">
      <c r="A212" s="238"/>
      <c r="B212" s="239" t="s">
        <v>350</v>
      </c>
      <c r="C212" s="240">
        <v>201</v>
      </c>
      <c r="D212" s="256">
        <f>SUM(D213:D228)</f>
        <v>0</v>
      </c>
      <c r="E212" s="256">
        <f>SUM(E213:E228)</f>
        <v>0</v>
      </c>
      <c r="F212" s="257" t="str">
        <f t="shared" ref="F212:F265" si="3">IF(D212&gt;0,IF(E212/D212&gt;=100,"&gt;&gt;100",E212/D212*100),"-")</f>
        <v>-</v>
      </c>
    </row>
    <row r="213" spans="1:6" s="2" customFormat="1" x14ac:dyDescent="0.2">
      <c r="A213" s="238" t="s">
        <v>2528</v>
      </c>
      <c r="B213" s="239" t="s">
        <v>2529</v>
      </c>
      <c r="C213" s="255">
        <v>202</v>
      </c>
      <c r="D213" s="241"/>
      <c r="E213" s="241"/>
      <c r="F213" s="242" t="str">
        <f t="shared" si="3"/>
        <v>-</v>
      </c>
    </row>
    <row r="214" spans="1:6" s="2" customFormat="1" x14ac:dyDescent="0.2">
      <c r="A214" s="238" t="s">
        <v>2530</v>
      </c>
      <c r="B214" s="260" t="s">
        <v>2531</v>
      </c>
      <c r="C214" s="255">
        <v>203</v>
      </c>
      <c r="D214" s="241"/>
      <c r="E214" s="241"/>
      <c r="F214" s="242" t="str">
        <f t="shared" si="3"/>
        <v>-</v>
      </c>
    </row>
    <row r="215" spans="1:6" s="2" customFormat="1" x14ac:dyDescent="0.2">
      <c r="A215" s="238" t="s">
        <v>2532</v>
      </c>
      <c r="B215" s="260" t="s">
        <v>2533</v>
      </c>
      <c r="C215" s="255">
        <v>204</v>
      </c>
      <c r="D215" s="241"/>
      <c r="E215" s="241"/>
      <c r="F215" s="242" t="str">
        <f t="shared" si="3"/>
        <v>-</v>
      </c>
    </row>
    <row r="216" spans="1:6" s="2" customFormat="1" x14ac:dyDescent="0.2">
      <c r="A216" s="238" t="s">
        <v>2251</v>
      </c>
      <c r="B216" s="260" t="s">
        <v>2534</v>
      </c>
      <c r="C216" s="255">
        <v>205</v>
      </c>
      <c r="D216" s="241"/>
      <c r="E216" s="241"/>
      <c r="F216" s="242" t="str">
        <f t="shared" si="3"/>
        <v>-</v>
      </c>
    </row>
    <row r="217" spans="1:6" s="2" customFormat="1" x14ac:dyDescent="0.2">
      <c r="A217" s="238" t="s">
        <v>2535</v>
      </c>
      <c r="B217" s="260" t="s">
        <v>383</v>
      </c>
      <c r="C217" s="255">
        <v>206</v>
      </c>
      <c r="D217" s="241"/>
      <c r="E217" s="241"/>
      <c r="F217" s="242" t="str">
        <f t="shared" si="3"/>
        <v>-</v>
      </c>
    </row>
    <row r="218" spans="1:6" s="2" customFormat="1" x14ac:dyDescent="0.2">
      <c r="A218" s="238" t="s">
        <v>2536</v>
      </c>
      <c r="B218" s="260" t="s">
        <v>2451</v>
      </c>
      <c r="C218" s="255">
        <v>207</v>
      </c>
      <c r="D218" s="241"/>
      <c r="E218" s="241"/>
      <c r="F218" s="242" t="str">
        <f t="shared" si="3"/>
        <v>-</v>
      </c>
    </row>
    <row r="219" spans="1:6" s="2" customFormat="1" x14ac:dyDescent="0.2">
      <c r="A219" s="238" t="s">
        <v>4080</v>
      </c>
      <c r="B219" s="260" t="s">
        <v>4081</v>
      </c>
      <c r="C219" s="255">
        <v>208</v>
      </c>
      <c r="D219" s="241"/>
      <c r="E219" s="241"/>
      <c r="F219" s="242" t="str">
        <f t="shared" si="3"/>
        <v>-</v>
      </c>
    </row>
    <row r="220" spans="1:6" s="2" customFormat="1" x14ac:dyDescent="0.2">
      <c r="A220" s="238" t="s">
        <v>4082</v>
      </c>
      <c r="B220" s="260" t="s">
        <v>4083</v>
      </c>
      <c r="C220" s="255">
        <v>209</v>
      </c>
      <c r="D220" s="241"/>
      <c r="E220" s="241"/>
      <c r="F220" s="242" t="str">
        <f t="shared" si="3"/>
        <v>-</v>
      </c>
    </row>
    <row r="221" spans="1:6" s="2" customFormat="1" x14ac:dyDescent="0.2">
      <c r="A221" s="238" t="s">
        <v>4084</v>
      </c>
      <c r="B221" s="260" t="s">
        <v>4085</v>
      </c>
      <c r="C221" s="255">
        <v>210</v>
      </c>
      <c r="D221" s="241"/>
      <c r="E221" s="241"/>
      <c r="F221" s="242" t="str">
        <f t="shared" si="3"/>
        <v>-</v>
      </c>
    </row>
    <row r="222" spans="1:6" s="2" customFormat="1" x14ac:dyDescent="0.2">
      <c r="A222" s="238" t="s">
        <v>4086</v>
      </c>
      <c r="B222" s="260" t="s">
        <v>4087</v>
      </c>
      <c r="C222" s="255">
        <v>211</v>
      </c>
      <c r="D222" s="241"/>
      <c r="E222" s="241"/>
      <c r="F222" s="242" t="str">
        <f t="shared" si="3"/>
        <v>-</v>
      </c>
    </row>
    <row r="223" spans="1:6" s="2" customFormat="1" x14ac:dyDescent="0.2">
      <c r="A223" s="238" t="s">
        <v>308</v>
      </c>
      <c r="B223" s="260" t="s">
        <v>423</v>
      </c>
      <c r="C223" s="255">
        <v>212</v>
      </c>
      <c r="D223" s="241"/>
      <c r="E223" s="241"/>
      <c r="F223" s="242" t="str">
        <f t="shared" si="3"/>
        <v>-</v>
      </c>
    </row>
    <row r="224" spans="1:6" s="2" customFormat="1" x14ac:dyDescent="0.2">
      <c r="A224" s="238" t="s">
        <v>2889</v>
      </c>
      <c r="B224" s="260" t="s">
        <v>3006</v>
      </c>
      <c r="C224" s="255">
        <v>213</v>
      </c>
      <c r="D224" s="241"/>
      <c r="E224" s="241"/>
      <c r="F224" s="242" t="str">
        <f t="shared" si="3"/>
        <v>-</v>
      </c>
    </row>
    <row r="225" spans="1:6" s="2" customFormat="1" x14ac:dyDescent="0.2">
      <c r="A225" s="238" t="s">
        <v>3007</v>
      </c>
      <c r="B225" s="260" t="s">
        <v>3008</v>
      </c>
      <c r="C225" s="255">
        <v>214</v>
      </c>
      <c r="D225" s="241"/>
      <c r="E225" s="241"/>
      <c r="F225" s="242" t="str">
        <f t="shared" si="3"/>
        <v>-</v>
      </c>
    </row>
    <row r="226" spans="1:6" s="2" customFormat="1" x14ac:dyDescent="0.2">
      <c r="A226" s="238" t="s">
        <v>3009</v>
      </c>
      <c r="B226" s="260" t="s">
        <v>3603</v>
      </c>
      <c r="C226" s="255">
        <v>215</v>
      </c>
      <c r="D226" s="241"/>
      <c r="E226" s="241"/>
      <c r="F226" s="242" t="str">
        <f t="shared" si="3"/>
        <v>-</v>
      </c>
    </row>
    <row r="227" spans="1:6" s="2" customFormat="1" x14ac:dyDescent="0.2">
      <c r="A227" s="238" t="s">
        <v>3604</v>
      </c>
      <c r="B227" s="260" t="s">
        <v>3605</v>
      </c>
      <c r="C227" s="255">
        <v>216</v>
      </c>
      <c r="D227" s="241"/>
      <c r="E227" s="241"/>
      <c r="F227" s="242" t="str">
        <f t="shared" si="3"/>
        <v>-</v>
      </c>
    </row>
    <row r="228" spans="1:6" s="2" customFormat="1" x14ac:dyDescent="0.2">
      <c r="A228" s="238" t="s">
        <v>3606</v>
      </c>
      <c r="B228" s="261" t="s">
        <v>1864</v>
      </c>
      <c r="C228" s="255">
        <v>217</v>
      </c>
      <c r="D228" s="241"/>
      <c r="E228" s="241"/>
      <c r="F228" s="242" t="str">
        <f t="shared" si="3"/>
        <v>-</v>
      </c>
    </row>
    <row r="229" spans="1:6" s="2" customFormat="1" x14ac:dyDescent="0.2">
      <c r="A229" s="238"/>
      <c r="B229" s="239" t="s">
        <v>351</v>
      </c>
      <c r="C229" s="240">
        <v>218</v>
      </c>
      <c r="D229" s="256">
        <f>SUM(D230:D238)</f>
        <v>0</v>
      </c>
      <c r="E229" s="256">
        <f>SUM(E230:E238)</f>
        <v>0</v>
      </c>
      <c r="F229" s="257" t="str">
        <f t="shared" si="3"/>
        <v>-</v>
      </c>
    </row>
    <row r="230" spans="1:6" s="2" customFormat="1" x14ac:dyDescent="0.2">
      <c r="A230" s="238" t="s">
        <v>1865</v>
      </c>
      <c r="B230" s="260" t="s">
        <v>667</v>
      </c>
      <c r="C230" s="255">
        <v>219</v>
      </c>
      <c r="D230" s="241"/>
      <c r="E230" s="241"/>
      <c r="F230" s="242" t="str">
        <f t="shared" si="3"/>
        <v>-</v>
      </c>
    </row>
    <row r="231" spans="1:6" s="2" customFormat="1" x14ac:dyDescent="0.2">
      <c r="A231" s="238" t="s">
        <v>668</v>
      </c>
      <c r="B231" s="260" t="s">
        <v>669</v>
      </c>
      <c r="C231" s="255">
        <v>220</v>
      </c>
      <c r="D231" s="241"/>
      <c r="E231" s="241"/>
      <c r="F231" s="242" t="str">
        <f t="shared" si="3"/>
        <v>-</v>
      </c>
    </row>
    <row r="232" spans="1:6" s="2" customFormat="1" x14ac:dyDescent="0.2">
      <c r="A232" s="238">
        <v>2615</v>
      </c>
      <c r="B232" s="260" t="s">
        <v>670</v>
      </c>
      <c r="C232" s="255">
        <v>221</v>
      </c>
      <c r="D232" s="241"/>
      <c r="E232" s="241"/>
      <c r="F232" s="242" t="str">
        <f t="shared" si="3"/>
        <v>-</v>
      </c>
    </row>
    <row r="233" spans="1:6" s="2" customFormat="1" x14ac:dyDescent="0.2">
      <c r="A233" s="238">
        <v>2616</v>
      </c>
      <c r="B233" s="260" t="s">
        <v>671</v>
      </c>
      <c r="C233" s="255">
        <v>222</v>
      </c>
      <c r="D233" s="241"/>
      <c r="E233" s="241"/>
      <c r="F233" s="242" t="str">
        <f t="shared" si="3"/>
        <v>-</v>
      </c>
    </row>
    <row r="234" spans="1:6" s="2" customFormat="1" x14ac:dyDescent="0.2">
      <c r="A234" s="238">
        <v>2646</v>
      </c>
      <c r="B234" s="260" t="s">
        <v>672</v>
      </c>
      <c r="C234" s="255">
        <v>223</v>
      </c>
      <c r="D234" s="241"/>
      <c r="E234" s="241"/>
      <c r="F234" s="242" t="str">
        <f t="shared" si="3"/>
        <v>-</v>
      </c>
    </row>
    <row r="235" spans="1:6" s="2" customFormat="1" x14ac:dyDescent="0.2">
      <c r="A235" s="238">
        <v>2647</v>
      </c>
      <c r="B235" s="260" t="s">
        <v>673</v>
      </c>
      <c r="C235" s="255">
        <v>224</v>
      </c>
      <c r="D235" s="241"/>
      <c r="E235" s="241"/>
      <c r="F235" s="242" t="str">
        <f t="shared" si="3"/>
        <v>-</v>
      </c>
    </row>
    <row r="236" spans="1:6" s="2" customFormat="1" x14ac:dyDescent="0.2">
      <c r="A236" s="238">
        <v>2648</v>
      </c>
      <c r="B236" s="260" t="s">
        <v>1334</v>
      </c>
      <c r="C236" s="255">
        <v>225</v>
      </c>
      <c r="D236" s="241"/>
      <c r="E236" s="241"/>
      <c r="F236" s="242" t="str">
        <f t="shared" si="3"/>
        <v>-</v>
      </c>
    </row>
    <row r="237" spans="1:6" s="2" customFormat="1" x14ac:dyDescent="0.2">
      <c r="A237" s="238">
        <v>2655</v>
      </c>
      <c r="B237" s="260" t="s">
        <v>1335</v>
      </c>
      <c r="C237" s="255">
        <v>226</v>
      </c>
      <c r="D237" s="241"/>
      <c r="E237" s="241"/>
      <c r="F237" s="242" t="str">
        <f t="shared" si="3"/>
        <v>-</v>
      </c>
    </row>
    <row r="238" spans="1:6" s="2" customFormat="1" x14ac:dyDescent="0.2">
      <c r="A238" s="238">
        <v>2656</v>
      </c>
      <c r="B238" s="260" t="s">
        <v>1336</v>
      </c>
      <c r="C238" s="255">
        <v>227</v>
      </c>
      <c r="D238" s="241"/>
      <c r="E238" s="241"/>
      <c r="F238" s="242" t="str">
        <f t="shared" si="3"/>
        <v>-</v>
      </c>
    </row>
    <row r="239" spans="1:6" s="2" customFormat="1" x14ac:dyDescent="0.2">
      <c r="A239" s="238" t="s">
        <v>2292</v>
      </c>
      <c r="B239" s="239" t="s">
        <v>352</v>
      </c>
      <c r="C239" s="240">
        <v>228</v>
      </c>
      <c r="D239" s="256">
        <f>SUM(D240:D241)</f>
        <v>0</v>
      </c>
      <c r="E239" s="256">
        <f>SUM(E240:E241)</f>
        <v>0</v>
      </c>
      <c r="F239" s="257" t="str">
        <f t="shared" si="3"/>
        <v>-</v>
      </c>
    </row>
    <row r="240" spans="1:6" s="2" customFormat="1" x14ac:dyDescent="0.2">
      <c r="A240" s="238" t="s">
        <v>2293</v>
      </c>
      <c r="B240" s="239" t="s">
        <v>2294</v>
      </c>
      <c r="C240" s="255">
        <v>229</v>
      </c>
      <c r="D240" s="241"/>
      <c r="E240" s="241"/>
      <c r="F240" s="242" t="str">
        <f t="shared" si="3"/>
        <v>-</v>
      </c>
    </row>
    <row r="241" spans="1:6" s="2" customFormat="1" x14ac:dyDescent="0.2">
      <c r="A241" s="238" t="s">
        <v>2295</v>
      </c>
      <c r="B241" s="239" t="s">
        <v>2296</v>
      </c>
      <c r="C241" s="255">
        <v>230</v>
      </c>
      <c r="D241" s="241"/>
      <c r="E241" s="241"/>
      <c r="F241" s="242" t="str">
        <f t="shared" si="3"/>
        <v>-</v>
      </c>
    </row>
    <row r="242" spans="1:6" s="2" customFormat="1" x14ac:dyDescent="0.2">
      <c r="A242" s="238" t="s">
        <v>2297</v>
      </c>
      <c r="B242" s="239" t="s">
        <v>3713</v>
      </c>
      <c r="C242" s="240">
        <v>231</v>
      </c>
      <c r="D242" s="256">
        <f>D243+D250-D259+SUM(D260:D262)</f>
        <v>0</v>
      </c>
      <c r="E242" s="256">
        <f>E243+E250-E259+SUM(E260:E262)</f>
        <v>0</v>
      </c>
      <c r="F242" s="257" t="str">
        <f t="shared" si="3"/>
        <v>-</v>
      </c>
    </row>
    <row r="243" spans="1:6" s="2" customFormat="1" x14ac:dyDescent="0.2">
      <c r="A243" s="238" t="s">
        <v>3369</v>
      </c>
      <c r="B243" s="239" t="s">
        <v>353</v>
      </c>
      <c r="C243" s="240">
        <v>232</v>
      </c>
      <c r="D243" s="256">
        <f>D244-D247</f>
        <v>0</v>
      </c>
      <c r="E243" s="256">
        <f>E244-E247</f>
        <v>0</v>
      </c>
      <c r="F243" s="257" t="str">
        <f t="shared" si="3"/>
        <v>-</v>
      </c>
    </row>
    <row r="244" spans="1:6" s="2" customFormat="1" x14ac:dyDescent="0.2">
      <c r="A244" s="238" t="s">
        <v>3370</v>
      </c>
      <c r="B244" s="239" t="s">
        <v>354</v>
      </c>
      <c r="C244" s="240">
        <v>233</v>
      </c>
      <c r="D244" s="256">
        <f>SUM(D245:D246)</f>
        <v>0</v>
      </c>
      <c r="E244" s="256">
        <f>SUM(E245:E246)</f>
        <v>0</v>
      </c>
      <c r="F244" s="257" t="str">
        <f t="shared" si="3"/>
        <v>-</v>
      </c>
    </row>
    <row r="245" spans="1:6" s="2" customFormat="1" x14ac:dyDescent="0.2">
      <c r="A245" s="238" t="s">
        <v>3371</v>
      </c>
      <c r="B245" s="239" t="s">
        <v>3372</v>
      </c>
      <c r="C245" s="255">
        <v>234</v>
      </c>
      <c r="D245" s="241"/>
      <c r="E245" s="241"/>
      <c r="F245" s="242" t="str">
        <f t="shared" si="3"/>
        <v>-</v>
      </c>
    </row>
    <row r="246" spans="1:6" s="2" customFormat="1" x14ac:dyDescent="0.2">
      <c r="A246" s="238" t="s">
        <v>3373</v>
      </c>
      <c r="B246" s="239" t="s">
        <v>3374</v>
      </c>
      <c r="C246" s="255">
        <v>235</v>
      </c>
      <c r="D246" s="241"/>
      <c r="E246" s="241"/>
      <c r="F246" s="242" t="str">
        <f t="shared" si="3"/>
        <v>-</v>
      </c>
    </row>
    <row r="247" spans="1:6" s="2" customFormat="1" x14ac:dyDescent="0.2">
      <c r="A247" s="238" t="s">
        <v>3375</v>
      </c>
      <c r="B247" s="239" t="s">
        <v>355</v>
      </c>
      <c r="C247" s="240">
        <v>236</v>
      </c>
      <c r="D247" s="256">
        <f>SUM(D248:D249)</f>
        <v>0</v>
      </c>
      <c r="E247" s="256">
        <f>SUM(E248:E249)</f>
        <v>0</v>
      </c>
      <c r="F247" s="257" t="str">
        <f t="shared" si="3"/>
        <v>-</v>
      </c>
    </row>
    <row r="248" spans="1:6" s="2" customFormat="1" x14ac:dyDescent="0.2">
      <c r="A248" s="238" t="s">
        <v>3376</v>
      </c>
      <c r="B248" s="239" t="s">
        <v>2583</v>
      </c>
      <c r="C248" s="255">
        <v>237</v>
      </c>
      <c r="D248" s="241"/>
      <c r="E248" s="241"/>
      <c r="F248" s="242" t="str">
        <f t="shared" si="3"/>
        <v>-</v>
      </c>
    </row>
    <row r="249" spans="1:6" s="2" customFormat="1" x14ac:dyDescent="0.2">
      <c r="A249" s="238" t="s">
        <v>2584</v>
      </c>
      <c r="B249" s="239" t="s">
        <v>2608</v>
      </c>
      <c r="C249" s="255">
        <v>238</v>
      </c>
      <c r="D249" s="241"/>
      <c r="E249" s="241"/>
      <c r="F249" s="242" t="str">
        <f t="shared" si="3"/>
        <v>-</v>
      </c>
    </row>
    <row r="250" spans="1:6" s="2" customFormat="1" x14ac:dyDescent="0.2">
      <c r="A250" s="238" t="s">
        <v>2609</v>
      </c>
      <c r="B250" s="239" t="s">
        <v>15</v>
      </c>
      <c r="C250" s="240">
        <v>239</v>
      </c>
      <c r="D250" s="256">
        <f>D251-D255</f>
        <v>0</v>
      </c>
      <c r="E250" s="256">
        <f>E251-E255</f>
        <v>0</v>
      </c>
      <c r="F250" s="242" t="str">
        <f t="shared" si="3"/>
        <v>-</v>
      </c>
    </row>
    <row r="251" spans="1:6" s="2" customFormat="1" x14ac:dyDescent="0.2">
      <c r="A251" s="238" t="s">
        <v>2610</v>
      </c>
      <c r="B251" s="239" t="s">
        <v>1396</v>
      </c>
      <c r="C251" s="240">
        <v>240</v>
      </c>
      <c r="D251" s="256">
        <f>SUM(D252:D254)</f>
        <v>0</v>
      </c>
      <c r="E251" s="256">
        <f>SUM(E252:E254)</f>
        <v>0</v>
      </c>
      <c r="F251" s="257" t="str">
        <f t="shared" si="3"/>
        <v>-</v>
      </c>
    </row>
    <row r="252" spans="1:6" s="2" customFormat="1" x14ac:dyDescent="0.2">
      <c r="A252" s="238" t="s">
        <v>763</v>
      </c>
      <c r="B252" s="239" t="s">
        <v>2611</v>
      </c>
      <c r="C252" s="255">
        <v>241</v>
      </c>
      <c r="D252" s="241"/>
      <c r="E252" s="241"/>
      <c r="F252" s="242" t="str">
        <f t="shared" si="3"/>
        <v>-</v>
      </c>
    </row>
    <row r="253" spans="1:6" s="2" customFormat="1" x14ac:dyDescent="0.2">
      <c r="A253" s="238" t="s">
        <v>1323</v>
      </c>
      <c r="B253" s="239" t="s">
        <v>2335</v>
      </c>
      <c r="C253" s="255">
        <v>242</v>
      </c>
      <c r="D253" s="241"/>
      <c r="E253" s="241"/>
      <c r="F253" s="242" t="str">
        <f t="shared" si="3"/>
        <v>-</v>
      </c>
    </row>
    <row r="254" spans="1:6" s="2" customFormat="1" x14ac:dyDescent="0.2">
      <c r="A254" s="238" t="s">
        <v>1283</v>
      </c>
      <c r="B254" s="239" t="s">
        <v>2336</v>
      </c>
      <c r="C254" s="255">
        <v>243</v>
      </c>
      <c r="D254" s="241"/>
      <c r="E254" s="241"/>
      <c r="F254" s="242" t="str">
        <f t="shared" si="3"/>
        <v>-</v>
      </c>
    </row>
    <row r="255" spans="1:6" s="2" customFormat="1" x14ac:dyDescent="0.2">
      <c r="A255" s="238" t="s">
        <v>2337</v>
      </c>
      <c r="B255" s="239" t="s">
        <v>1397</v>
      </c>
      <c r="C255" s="240">
        <v>244</v>
      </c>
      <c r="D255" s="256">
        <f>SUM(D256:D258)</f>
        <v>0</v>
      </c>
      <c r="E255" s="256">
        <f>SUM(E256:E258)</f>
        <v>0</v>
      </c>
      <c r="F255" s="257" t="str">
        <f t="shared" si="3"/>
        <v>-</v>
      </c>
    </row>
    <row r="256" spans="1:6" s="2" customFormat="1" x14ac:dyDescent="0.2">
      <c r="A256" s="238" t="s">
        <v>1536</v>
      </c>
      <c r="B256" s="239" t="s">
        <v>2338</v>
      </c>
      <c r="C256" s="255">
        <v>245</v>
      </c>
      <c r="D256" s="241"/>
      <c r="E256" s="241"/>
      <c r="F256" s="242" t="str">
        <f t="shared" si="3"/>
        <v>-</v>
      </c>
    </row>
    <row r="257" spans="1:6" s="2" customFormat="1" x14ac:dyDescent="0.2">
      <c r="A257" s="238" t="s">
        <v>3497</v>
      </c>
      <c r="B257" s="260" t="s">
        <v>2339</v>
      </c>
      <c r="C257" s="255">
        <v>246</v>
      </c>
      <c r="D257" s="241"/>
      <c r="E257" s="241"/>
      <c r="F257" s="242" t="str">
        <f t="shared" si="3"/>
        <v>-</v>
      </c>
    </row>
    <row r="258" spans="1:6" s="2" customFormat="1" x14ac:dyDescent="0.2">
      <c r="A258" s="238" t="s">
        <v>2759</v>
      </c>
      <c r="B258" s="260" t="s">
        <v>2340</v>
      </c>
      <c r="C258" s="255">
        <v>247</v>
      </c>
      <c r="D258" s="241"/>
      <c r="E258" s="241"/>
      <c r="F258" s="242" t="str">
        <f t="shared" si="3"/>
        <v>-</v>
      </c>
    </row>
    <row r="259" spans="1:6" s="2" customFormat="1" x14ac:dyDescent="0.2">
      <c r="A259" s="238" t="s">
        <v>1056</v>
      </c>
      <c r="B259" s="239" t="s">
        <v>1057</v>
      </c>
      <c r="C259" s="240">
        <v>248</v>
      </c>
      <c r="D259" s="241"/>
      <c r="E259" s="241"/>
      <c r="F259" s="242" t="str">
        <f>IF(D259&gt;0,IF(E259/D259&gt;=100,"&gt;&gt;100",E259/D259*100),"-")</f>
        <v>-</v>
      </c>
    </row>
    <row r="260" spans="1:6" s="2" customFormat="1" x14ac:dyDescent="0.2">
      <c r="A260" s="238" t="s">
        <v>2916</v>
      </c>
      <c r="B260" s="260" t="s">
        <v>2341</v>
      </c>
      <c r="C260" s="255">
        <v>249</v>
      </c>
      <c r="D260" s="241"/>
      <c r="E260" s="241"/>
      <c r="F260" s="242" t="str">
        <f t="shared" si="3"/>
        <v>-</v>
      </c>
    </row>
    <row r="261" spans="1:6" s="2" customFormat="1" x14ac:dyDescent="0.2">
      <c r="A261" s="238" t="s">
        <v>3499</v>
      </c>
      <c r="B261" s="260" t="s">
        <v>1575</v>
      </c>
      <c r="C261" s="255">
        <v>250</v>
      </c>
      <c r="D261" s="241"/>
      <c r="E261" s="241"/>
      <c r="F261" s="242" t="str">
        <f t="shared" si="3"/>
        <v>-</v>
      </c>
    </row>
    <row r="262" spans="1:6" s="2" customFormat="1" x14ac:dyDescent="0.2">
      <c r="A262" s="238" t="s">
        <v>1576</v>
      </c>
      <c r="B262" s="260" t="s">
        <v>1577</v>
      </c>
      <c r="C262" s="255">
        <v>251</v>
      </c>
      <c r="D262" s="241"/>
      <c r="E262" s="241"/>
      <c r="F262" s="242" t="str">
        <f t="shared" si="3"/>
        <v>-</v>
      </c>
    </row>
    <row r="263" spans="1:6" s="2" customFormat="1" x14ac:dyDescent="0.2">
      <c r="A263" s="238" t="s">
        <v>1578</v>
      </c>
      <c r="B263" s="260" t="s">
        <v>1579</v>
      </c>
      <c r="C263" s="255">
        <v>252</v>
      </c>
      <c r="D263" s="256">
        <f>+D264-D265</f>
        <v>0</v>
      </c>
      <c r="E263" s="256">
        <f>+E264-E265</f>
        <v>0</v>
      </c>
      <c r="F263" s="257" t="str">
        <f t="shared" si="3"/>
        <v>-</v>
      </c>
    </row>
    <row r="264" spans="1:6" s="2" customFormat="1" x14ac:dyDescent="0.2">
      <c r="A264" s="238" t="s">
        <v>1580</v>
      </c>
      <c r="B264" s="239" t="s">
        <v>1398</v>
      </c>
      <c r="C264" s="240">
        <v>253</v>
      </c>
      <c r="D264" s="256">
        <f>D265</f>
        <v>0</v>
      </c>
      <c r="E264" s="256">
        <f>E265</f>
        <v>0</v>
      </c>
      <c r="F264" s="257" t="str">
        <f t="shared" si="3"/>
        <v>-</v>
      </c>
    </row>
    <row r="265" spans="1:6" s="2" customFormat="1" x14ac:dyDescent="0.2">
      <c r="A265" s="244" t="s">
        <v>3333</v>
      </c>
      <c r="B265" s="262" t="s">
        <v>3334</v>
      </c>
      <c r="C265" s="263">
        <v>254</v>
      </c>
      <c r="D265" s="247"/>
      <c r="E265" s="247"/>
      <c r="F265" s="248" t="str">
        <f t="shared" si="3"/>
        <v>-</v>
      </c>
    </row>
    <row r="266" spans="1:6" s="2" customFormat="1" ht="18" customHeight="1" x14ac:dyDescent="0.2">
      <c r="A266" s="461" t="s">
        <v>2679</v>
      </c>
      <c r="B266" s="462"/>
      <c r="C266" s="236"/>
      <c r="D266" s="236"/>
      <c r="E266" s="237"/>
      <c r="F266" s="237"/>
    </row>
    <row r="267" spans="1:6" s="2" customFormat="1" x14ac:dyDescent="0.2">
      <c r="A267" s="238" t="s">
        <v>527</v>
      </c>
      <c r="B267" s="239" t="s">
        <v>528</v>
      </c>
      <c r="C267" s="240">
        <v>255</v>
      </c>
      <c r="D267" s="241"/>
      <c r="E267" s="241"/>
      <c r="F267" s="242" t="str">
        <f t="shared" ref="F267:F272" si="4">IF(D267&gt;0,IF(E267/D267&gt;=100,"&gt;&gt;100",E267/D267*100),"-")</f>
        <v>-</v>
      </c>
    </row>
    <row r="268" spans="1:6" s="2" customFormat="1" x14ac:dyDescent="0.2">
      <c r="A268" s="238" t="s">
        <v>527</v>
      </c>
      <c r="B268" s="239" t="s">
        <v>529</v>
      </c>
      <c r="C268" s="240">
        <v>256</v>
      </c>
      <c r="D268" s="241"/>
      <c r="E268" s="241"/>
      <c r="F268" s="242" t="str">
        <f t="shared" si="4"/>
        <v>-</v>
      </c>
    </row>
    <row r="269" spans="1:6" s="2" customFormat="1" x14ac:dyDescent="0.2">
      <c r="A269" s="238" t="s">
        <v>530</v>
      </c>
      <c r="B269" s="239" t="s">
        <v>694</v>
      </c>
      <c r="C269" s="240">
        <v>257</v>
      </c>
      <c r="D269" s="241"/>
      <c r="E269" s="241"/>
      <c r="F269" s="242" t="str">
        <f t="shared" si="4"/>
        <v>-</v>
      </c>
    </row>
    <row r="270" spans="1:6" s="2" customFormat="1" x14ac:dyDescent="0.2">
      <c r="A270" s="238" t="s">
        <v>530</v>
      </c>
      <c r="B270" s="239" t="s">
        <v>695</v>
      </c>
      <c r="C270" s="240">
        <v>258</v>
      </c>
      <c r="D270" s="241"/>
      <c r="E270" s="241"/>
      <c r="F270" s="242" t="str">
        <f t="shared" si="4"/>
        <v>-</v>
      </c>
    </row>
    <row r="271" spans="1:6" s="2" customFormat="1" x14ac:dyDescent="0.2">
      <c r="A271" s="238" t="s">
        <v>696</v>
      </c>
      <c r="B271" s="239" t="s">
        <v>697</v>
      </c>
      <c r="C271" s="240">
        <v>259</v>
      </c>
      <c r="D271" s="241"/>
      <c r="E271" s="241"/>
      <c r="F271" s="242" t="str">
        <f t="shared" si="4"/>
        <v>-</v>
      </c>
    </row>
    <row r="272" spans="1:6" s="2" customFormat="1" x14ac:dyDescent="0.2">
      <c r="A272" s="238" t="s">
        <v>696</v>
      </c>
      <c r="B272" s="239" t="s">
        <v>698</v>
      </c>
      <c r="C272" s="240">
        <v>260</v>
      </c>
      <c r="D272" s="241"/>
      <c r="E272" s="241"/>
      <c r="F272" s="242" t="str">
        <f t="shared" si="4"/>
        <v>-</v>
      </c>
    </row>
    <row r="273" spans="1:6" s="2" customFormat="1" x14ac:dyDescent="0.2">
      <c r="A273" s="238" t="s">
        <v>571</v>
      </c>
      <c r="B273" s="239" t="s">
        <v>572</v>
      </c>
      <c r="C273" s="240">
        <v>261</v>
      </c>
      <c r="D273" s="241"/>
      <c r="E273" s="241"/>
      <c r="F273" s="242" t="str">
        <f t="shared" ref="F273:F291" si="5">IF(D273&gt;0,IF(E273/D273&gt;=100,"&gt;&gt;100",E273/D273*100),"-")</f>
        <v>-</v>
      </c>
    </row>
    <row r="274" spans="1:6" s="2" customFormat="1" x14ac:dyDescent="0.2">
      <c r="A274" s="238" t="s">
        <v>573</v>
      </c>
      <c r="B274" s="239" t="s">
        <v>574</v>
      </c>
      <c r="C274" s="240">
        <v>262</v>
      </c>
      <c r="D274" s="241"/>
      <c r="E274" s="241"/>
      <c r="F274" s="242" t="str">
        <f t="shared" si="5"/>
        <v>-</v>
      </c>
    </row>
    <row r="275" spans="1:6" s="2" customFormat="1" x14ac:dyDescent="0.2">
      <c r="A275" s="238" t="s">
        <v>575</v>
      </c>
      <c r="B275" s="239" t="s">
        <v>576</v>
      </c>
      <c r="C275" s="240">
        <v>263</v>
      </c>
      <c r="D275" s="241"/>
      <c r="E275" s="241"/>
      <c r="F275" s="242" t="str">
        <f t="shared" si="5"/>
        <v>-</v>
      </c>
    </row>
    <row r="276" spans="1:6" s="2" customFormat="1" x14ac:dyDescent="0.2">
      <c r="A276" s="238" t="s">
        <v>577</v>
      </c>
      <c r="B276" s="239" t="s">
        <v>578</v>
      </c>
      <c r="C276" s="240">
        <v>264</v>
      </c>
      <c r="D276" s="241"/>
      <c r="E276" s="241"/>
      <c r="F276" s="242" t="str">
        <f t="shared" si="5"/>
        <v>-</v>
      </c>
    </row>
    <row r="277" spans="1:6" s="2" customFormat="1" x14ac:dyDescent="0.2">
      <c r="A277" s="238" t="s">
        <v>579</v>
      </c>
      <c r="B277" s="239" t="s">
        <v>1730</v>
      </c>
      <c r="C277" s="240">
        <v>265</v>
      </c>
      <c r="D277" s="241"/>
      <c r="E277" s="241"/>
      <c r="F277" s="242" t="str">
        <f t="shared" si="5"/>
        <v>-</v>
      </c>
    </row>
    <row r="278" spans="1:6" s="2" customFormat="1" x14ac:dyDescent="0.2">
      <c r="A278" s="238" t="s">
        <v>1731</v>
      </c>
      <c r="B278" s="239" t="s">
        <v>1732</v>
      </c>
      <c r="C278" s="240">
        <v>266</v>
      </c>
      <c r="D278" s="241"/>
      <c r="E278" s="241"/>
      <c r="F278" s="242" t="str">
        <f t="shared" si="5"/>
        <v>-</v>
      </c>
    </row>
    <row r="279" spans="1:6" s="2" customFormat="1" ht="24" x14ac:dyDescent="0.2">
      <c r="A279" s="238">
        <v>16371</v>
      </c>
      <c r="B279" s="239" t="s">
        <v>1167</v>
      </c>
      <c r="C279" s="240">
        <v>267</v>
      </c>
      <c r="D279" s="241"/>
      <c r="E279" s="241"/>
      <c r="F279" s="242" t="str">
        <f t="shared" si="5"/>
        <v>-</v>
      </c>
    </row>
    <row r="280" spans="1:6" s="2" customFormat="1" ht="24" x14ac:dyDescent="0.2">
      <c r="A280" s="238">
        <v>16372</v>
      </c>
      <c r="B280" s="239" t="s">
        <v>1168</v>
      </c>
      <c r="C280" s="240">
        <v>268</v>
      </c>
      <c r="D280" s="241"/>
      <c r="E280" s="241"/>
      <c r="F280" s="242" t="str">
        <f t="shared" si="5"/>
        <v>-</v>
      </c>
    </row>
    <row r="281" spans="1:6" s="2" customFormat="1" ht="24" x14ac:dyDescent="0.2">
      <c r="A281" s="238">
        <v>16373</v>
      </c>
      <c r="B281" s="239" t="s">
        <v>1169</v>
      </c>
      <c r="C281" s="240">
        <v>269</v>
      </c>
      <c r="D281" s="241"/>
      <c r="E281" s="241"/>
      <c r="F281" s="242" t="str">
        <f t="shared" si="5"/>
        <v>-</v>
      </c>
    </row>
    <row r="282" spans="1:6" s="2" customFormat="1" ht="24" x14ac:dyDescent="0.2">
      <c r="A282" s="238">
        <v>16374</v>
      </c>
      <c r="B282" s="239" t="s">
        <v>1170</v>
      </c>
      <c r="C282" s="240">
        <v>270</v>
      </c>
      <c r="D282" s="241"/>
      <c r="E282" s="241"/>
      <c r="F282" s="242" t="str">
        <f t="shared" si="5"/>
        <v>-</v>
      </c>
    </row>
    <row r="283" spans="1:6" s="2" customFormat="1" ht="24" x14ac:dyDescent="0.2">
      <c r="A283" s="238">
        <v>16375</v>
      </c>
      <c r="B283" s="239" t="s">
        <v>1171</v>
      </c>
      <c r="C283" s="240">
        <v>271</v>
      </c>
      <c r="D283" s="241"/>
      <c r="E283" s="241"/>
      <c r="F283" s="242" t="str">
        <f t="shared" si="5"/>
        <v>-</v>
      </c>
    </row>
    <row r="284" spans="1:6" s="2" customFormat="1" ht="24" x14ac:dyDescent="0.2">
      <c r="A284" s="238">
        <v>16376</v>
      </c>
      <c r="B284" s="239" t="s">
        <v>1172</v>
      </c>
      <c r="C284" s="240">
        <v>272</v>
      </c>
      <c r="D284" s="241"/>
      <c r="E284" s="241"/>
      <c r="F284" s="242" t="str">
        <f t="shared" si="5"/>
        <v>-</v>
      </c>
    </row>
    <row r="285" spans="1:6" s="2" customFormat="1" ht="24" x14ac:dyDescent="0.2">
      <c r="A285" s="238">
        <v>16377</v>
      </c>
      <c r="B285" s="239" t="s">
        <v>1173</v>
      </c>
      <c r="C285" s="240">
        <v>273</v>
      </c>
      <c r="D285" s="241"/>
      <c r="E285" s="241"/>
      <c r="F285" s="242" t="str">
        <f t="shared" si="5"/>
        <v>-</v>
      </c>
    </row>
    <row r="286" spans="1:6" s="2" customFormat="1" ht="24" x14ac:dyDescent="0.2">
      <c r="A286" s="238">
        <v>16378</v>
      </c>
      <c r="B286" s="239" t="s">
        <v>1174</v>
      </c>
      <c r="C286" s="240">
        <v>274</v>
      </c>
      <c r="D286" s="241"/>
      <c r="E286" s="241"/>
      <c r="F286" s="242" t="str">
        <f t="shared" si="5"/>
        <v>-</v>
      </c>
    </row>
    <row r="287" spans="1:6" s="2" customFormat="1" ht="24" x14ac:dyDescent="0.2">
      <c r="A287" s="238" t="s">
        <v>1175</v>
      </c>
      <c r="B287" s="239" t="s">
        <v>1176</v>
      </c>
      <c r="C287" s="240">
        <v>275</v>
      </c>
      <c r="D287" s="241"/>
      <c r="E287" s="241"/>
      <c r="F287" s="242" t="str">
        <f t="shared" si="5"/>
        <v>-</v>
      </c>
    </row>
    <row r="288" spans="1:6" s="2" customFormat="1" ht="24" x14ac:dyDescent="0.2">
      <c r="A288" s="238" t="s">
        <v>1177</v>
      </c>
      <c r="B288" s="239" t="s">
        <v>1178</v>
      </c>
      <c r="C288" s="240">
        <v>276</v>
      </c>
      <c r="D288" s="241"/>
      <c r="E288" s="241"/>
      <c r="F288" s="242" t="str">
        <f t="shared" si="5"/>
        <v>-</v>
      </c>
    </row>
    <row r="289" spans="1:6" s="2" customFormat="1" ht="24" x14ac:dyDescent="0.2">
      <c r="A289" s="238" t="s">
        <v>1179</v>
      </c>
      <c r="B289" s="239" t="s">
        <v>1180</v>
      </c>
      <c r="C289" s="240">
        <v>277</v>
      </c>
      <c r="D289" s="241"/>
      <c r="E289" s="241"/>
      <c r="F289" s="242" t="str">
        <f t="shared" si="5"/>
        <v>-</v>
      </c>
    </row>
    <row r="290" spans="1:6" s="2" customFormat="1" ht="24" x14ac:dyDescent="0.2">
      <c r="A290" s="238" t="s">
        <v>1181</v>
      </c>
      <c r="B290" s="239" t="s">
        <v>1182</v>
      </c>
      <c r="C290" s="240">
        <v>278</v>
      </c>
      <c r="D290" s="241"/>
      <c r="E290" s="241"/>
      <c r="F290" s="242" t="str">
        <f t="shared" si="5"/>
        <v>-</v>
      </c>
    </row>
    <row r="291" spans="1:6" s="2" customFormat="1" x14ac:dyDescent="0.2">
      <c r="A291" s="238" t="s">
        <v>1733</v>
      </c>
      <c r="B291" s="239" t="s">
        <v>1399</v>
      </c>
      <c r="C291" s="240">
        <v>279</v>
      </c>
      <c r="D291" s="241"/>
      <c r="E291" s="241"/>
      <c r="F291" s="242" t="str">
        <f t="shared" si="5"/>
        <v>-</v>
      </c>
    </row>
    <row r="292" spans="1:6" s="2" customFormat="1" x14ac:dyDescent="0.2">
      <c r="A292" s="238" t="s">
        <v>699</v>
      </c>
      <c r="B292" s="239" t="s">
        <v>1433</v>
      </c>
      <c r="C292" s="240">
        <v>280</v>
      </c>
      <c r="D292" s="241"/>
      <c r="E292" s="241"/>
      <c r="F292" s="242" t="str">
        <f t="shared" ref="F292:F326" si="6">IF(D292&gt;0,IF(E292/D292&gt;=100,"&gt;&gt;100",E292/D292*100),"-")</f>
        <v>-</v>
      </c>
    </row>
    <row r="293" spans="1:6" s="2" customFormat="1" x14ac:dyDescent="0.2">
      <c r="A293" s="238" t="s">
        <v>699</v>
      </c>
      <c r="B293" s="239" t="s">
        <v>674</v>
      </c>
      <c r="C293" s="240">
        <v>281</v>
      </c>
      <c r="D293" s="241"/>
      <c r="E293" s="241"/>
      <c r="F293" s="242" t="str">
        <f t="shared" si="6"/>
        <v>-</v>
      </c>
    </row>
    <row r="294" spans="1:6" s="2" customFormat="1" x14ac:dyDescent="0.2">
      <c r="A294" s="238" t="s">
        <v>675</v>
      </c>
      <c r="B294" s="239" t="s">
        <v>676</v>
      </c>
      <c r="C294" s="240">
        <v>282</v>
      </c>
      <c r="D294" s="241"/>
      <c r="E294" s="241"/>
      <c r="F294" s="242" t="str">
        <f t="shared" si="6"/>
        <v>-</v>
      </c>
    </row>
    <row r="295" spans="1:6" s="2" customFormat="1" x14ac:dyDescent="0.2">
      <c r="A295" s="238" t="s">
        <v>675</v>
      </c>
      <c r="B295" s="239" t="s">
        <v>677</v>
      </c>
      <c r="C295" s="240">
        <v>283</v>
      </c>
      <c r="D295" s="241"/>
      <c r="E295" s="241"/>
      <c r="F295" s="242" t="str">
        <f t="shared" si="6"/>
        <v>-</v>
      </c>
    </row>
    <row r="296" spans="1:6" s="2" customFormat="1" x14ac:dyDescent="0.2">
      <c r="A296" s="238" t="s">
        <v>678</v>
      </c>
      <c r="B296" s="239" t="s">
        <v>679</v>
      </c>
      <c r="C296" s="240">
        <v>284</v>
      </c>
      <c r="D296" s="241"/>
      <c r="E296" s="241"/>
      <c r="F296" s="242" t="str">
        <f t="shared" si="6"/>
        <v>-</v>
      </c>
    </row>
    <row r="297" spans="1:6" s="2" customFormat="1" x14ac:dyDescent="0.2">
      <c r="A297" s="238" t="s">
        <v>678</v>
      </c>
      <c r="B297" s="239" t="s">
        <v>680</v>
      </c>
      <c r="C297" s="240">
        <v>285</v>
      </c>
      <c r="D297" s="241"/>
      <c r="E297" s="241"/>
      <c r="F297" s="242" t="str">
        <f t="shared" si="6"/>
        <v>-</v>
      </c>
    </row>
    <row r="298" spans="1:6" s="2" customFormat="1" x14ac:dyDescent="0.2">
      <c r="A298" s="238" t="s">
        <v>681</v>
      </c>
      <c r="B298" s="239" t="s">
        <v>682</v>
      </c>
      <c r="C298" s="240">
        <v>286</v>
      </c>
      <c r="D298" s="241"/>
      <c r="E298" s="241"/>
      <c r="F298" s="242" t="str">
        <f t="shared" si="6"/>
        <v>-</v>
      </c>
    </row>
    <row r="299" spans="1:6" s="2" customFormat="1" x14ac:dyDescent="0.2">
      <c r="A299" s="238" t="s">
        <v>681</v>
      </c>
      <c r="B299" s="239" t="s">
        <v>683</v>
      </c>
      <c r="C299" s="240">
        <v>287</v>
      </c>
      <c r="D299" s="241"/>
      <c r="E299" s="241"/>
      <c r="F299" s="242" t="str">
        <f t="shared" si="6"/>
        <v>-</v>
      </c>
    </row>
    <row r="300" spans="1:6" s="2" customFormat="1" x14ac:dyDescent="0.2">
      <c r="A300" s="238" t="s">
        <v>3328</v>
      </c>
      <c r="B300" s="243" t="s">
        <v>3329</v>
      </c>
      <c r="C300" s="240">
        <v>288</v>
      </c>
      <c r="D300" s="241"/>
      <c r="E300" s="241"/>
      <c r="F300" s="242" t="str">
        <f t="shared" si="6"/>
        <v>-</v>
      </c>
    </row>
    <row r="301" spans="1:6" s="2" customFormat="1" x14ac:dyDescent="0.2">
      <c r="A301" s="238" t="s">
        <v>1734</v>
      </c>
      <c r="B301" s="243" t="s">
        <v>1735</v>
      </c>
      <c r="C301" s="240">
        <v>289</v>
      </c>
      <c r="D301" s="241"/>
      <c r="E301" s="241"/>
      <c r="F301" s="242" t="str">
        <f t="shared" si="6"/>
        <v>-</v>
      </c>
    </row>
    <row r="302" spans="1:6" s="2" customFormat="1" x14ac:dyDescent="0.2">
      <c r="A302" s="238" t="s">
        <v>1736</v>
      </c>
      <c r="B302" s="243" t="s">
        <v>2988</v>
      </c>
      <c r="C302" s="240">
        <v>290</v>
      </c>
      <c r="D302" s="241"/>
      <c r="E302" s="241"/>
      <c r="F302" s="242" t="str">
        <f t="shared" si="6"/>
        <v>-</v>
      </c>
    </row>
    <row r="303" spans="1:6" s="2" customFormat="1" x14ac:dyDescent="0.2">
      <c r="A303" s="238">
        <v>23954</v>
      </c>
      <c r="B303" s="243" t="s">
        <v>2989</v>
      </c>
      <c r="C303" s="240">
        <v>291</v>
      </c>
      <c r="D303" s="241"/>
      <c r="E303" s="241"/>
      <c r="F303" s="242" t="str">
        <f t="shared" si="6"/>
        <v>-</v>
      </c>
    </row>
    <row r="304" spans="1:6" s="2" customFormat="1" x14ac:dyDescent="0.2">
      <c r="A304" s="238">
        <v>23955</v>
      </c>
      <c r="B304" s="243" t="s">
        <v>2990</v>
      </c>
      <c r="C304" s="240">
        <v>292</v>
      </c>
      <c r="D304" s="241"/>
      <c r="E304" s="241"/>
      <c r="F304" s="242" t="str">
        <f t="shared" si="6"/>
        <v>-</v>
      </c>
    </row>
    <row r="305" spans="1:6" s="2" customFormat="1" x14ac:dyDescent="0.2">
      <c r="A305" s="238">
        <v>23956</v>
      </c>
      <c r="B305" s="243" t="s">
        <v>1400</v>
      </c>
      <c r="C305" s="240">
        <v>293</v>
      </c>
      <c r="D305" s="241"/>
      <c r="E305" s="241"/>
      <c r="F305" s="242" t="str">
        <f t="shared" si="6"/>
        <v>-</v>
      </c>
    </row>
    <row r="306" spans="1:6" s="2" customFormat="1" x14ac:dyDescent="0.2">
      <c r="A306" s="238">
        <v>23957</v>
      </c>
      <c r="B306" s="243" t="s">
        <v>2991</v>
      </c>
      <c r="C306" s="240">
        <v>294</v>
      </c>
      <c r="D306" s="241"/>
      <c r="E306" s="241"/>
      <c r="F306" s="242" t="str">
        <f t="shared" si="6"/>
        <v>-</v>
      </c>
    </row>
    <row r="307" spans="1:6" s="2" customFormat="1" x14ac:dyDescent="0.2">
      <c r="A307" s="238">
        <v>23958</v>
      </c>
      <c r="B307" s="243" t="s">
        <v>2992</v>
      </c>
      <c r="C307" s="240">
        <v>295</v>
      </c>
      <c r="D307" s="241"/>
      <c r="E307" s="241"/>
      <c r="F307" s="242" t="str">
        <f t="shared" si="6"/>
        <v>-</v>
      </c>
    </row>
    <row r="308" spans="1:6" s="2" customFormat="1" x14ac:dyDescent="0.2">
      <c r="A308" s="238" t="s">
        <v>3330</v>
      </c>
      <c r="B308" s="243" t="s">
        <v>3331</v>
      </c>
      <c r="C308" s="240">
        <v>296</v>
      </c>
      <c r="D308" s="241"/>
      <c r="E308" s="241"/>
      <c r="F308" s="242" t="str">
        <f t="shared" si="6"/>
        <v>-</v>
      </c>
    </row>
    <row r="309" spans="1:6" s="2" customFormat="1" x14ac:dyDescent="0.2">
      <c r="A309" s="238">
        <v>26224</v>
      </c>
      <c r="B309" s="243" t="s">
        <v>3892</v>
      </c>
      <c r="C309" s="240">
        <v>297</v>
      </c>
      <c r="D309" s="241"/>
      <c r="E309" s="241"/>
      <c r="F309" s="242" t="str">
        <f t="shared" si="6"/>
        <v>-</v>
      </c>
    </row>
    <row r="310" spans="1:6" s="2" customFormat="1" x14ac:dyDescent="0.2">
      <c r="A310" s="238">
        <v>26233</v>
      </c>
      <c r="B310" s="243" t="s">
        <v>3195</v>
      </c>
      <c r="C310" s="240">
        <v>298</v>
      </c>
      <c r="D310" s="241"/>
      <c r="E310" s="241"/>
      <c r="F310" s="242" t="str">
        <f t="shared" si="6"/>
        <v>-</v>
      </c>
    </row>
    <row r="311" spans="1:6" s="2" customFormat="1" x14ac:dyDescent="0.2">
      <c r="A311" s="238" t="s">
        <v>3196</v>
      </c>
      <c r="B311" s="243" t="s">
        <v>3197</v>
      </c>
      <c r="C311" s="240">
        <v>299</v>
      </c>
      <c r="D311" s="241"/>
      <c r="E311" s="241"/>
      <c r="F311" s="242" t="str">
        <f t="shared" si="6"/>
        <v>-</v>
      </c>
    </row>
    <row r="312" spans="1:6" s="2" customFormat="1" x14ac:dyDescent="0.2">
      <c r="A312" s="238">
        <v>26244</v>
      </c>
      <c r="B312" s="243" t="s">
        <v>3198</v>
      </c>
      <c r="C312" s="240">
        <v>300</v>
      </c>
      <c r="D312" s="241"/>
      <c r="E312" s="241"/>
      <c r="F312" s="242" t="str">
        <f t="shared" si="6"/>
        <v>-</v>
      </c>
    </row>
    <row r="313" spans="1:6" s="2" customFormat="1" x14ac:dyDescent="0.2">
      <c r="A313" s="238">
        <v>26314</v>
      </c>
      <c r="B313" s="243" t="s">
        <v>3720</v>
      </c>
      <c r="C313" s="240">
        <v>301</v>
      </c>
      <c r="D313" s="241"/>
      <c r="E313" s="241"/>
      <c r="F313" s="242" t="str">
        <f t="shared" si="6"/>
        <v>-</v>
      </c>
    </row>
    <row r="314" spans="1:6" s="2" customFormat="1" x14ac:dyDescent="0.2">
      <c r="A314" s="238" t="s">
        <v>3721</v>
      </c>
      <c r="B314" s="243" t="s">
        <v>3722</v>
      </c>
      <c r="C314" s="240">
        <v>302</v>
      </c>
      <c r="D314" s="241"/>
      <c r="E314" s="241"/>
      <c r="F314" s="242" t="str">
        <f t="shared" si="6"/>
        <v>-</v>
      </c>
    </row>
    <row r="315" spans="1:6" s="2" customFormat="1" x14ac:dyDescent="0.2">
      <c r="A315" s="238">
        <v>26434</v>
      </c>
      <c r="B315" s="243" t="s">
        <v>3723</v>
      </c>
      <c r="C315" s="240">
        <v>303</v>
      </c>
      <c r="D315" s="241"/>
      <c r="E315" s="241"/>
      <c r="F315" s="242" t="str">
        <f t="shared" si="6"/>
        <v>-</v>
      </c>
    </row>
    <row r="316" spans="1:6" s="2" customFormat="1" x14ac:dyDescent="0.2">
      <c r="A316" s="238">
        <v>26443</v>
      </c>
      <c r="B316" s="243" t="s">
        <v>2710</v>
      </c>
      <c r="C316" s="240">
        <v>304</v>
      </c>
      <c r="D316" s="241"/>
      <c r="E316" s="241"/>
      <c r="F316" s="242" t="str">
        <f t="shared" si="6"/>
        <v>-</v>
      </c>
    </row>
    <row r="317" spans="1:6" s="2" customFormat="1" x14ac:dyDescent="0.2">
      <c r="A317" s="238" t="s">
        <v>2711</v>
      </c>
      <c r="B317" s="243" t="s">
        <v>2712</v>
      </c>
      <c r="C317" s="240">
        <v>305</v>
      </c>
      <c r="D317" s="241"/>
      <c r="E317" s="241"/>
      <c r="F317" s="242" t="str">
        <f t="shared" si="6"/>
        <v>-</v>
      </c>
    </row>
    <row r="318" spans="1:6" s="2" customFormat="1" x14ac:dyDescent="0.2">
      <c r="A318" s="238">
        <v>26454</v>
      </c>
      <c r="B318" s="243" t="s">
        <v>2713</v>
      </c>
      <c r="C318" s="240">
        <v>306</v>
      </c>
      <c r="D318" s="241"/>
      <c r="E318" s="241"/>
      <c r="F318" s="242" t="str">
        <f t="shared" si="6"/>
        <v>-</v>
      </c>
    </row>
    <row r="319" spans="1:6" s="2" customFormat="1" x14ac:dyDescent="0.2">
      <c r="A319" s="238" t="s">
        <v>2714</v>
      </c>
      <c r="B319" s="243" t="s">
        <v>2715</v>
      </c>
      <c r="C319" s="240">
        <v>307</v>
      </c>
      <c r="D319" s="241"/>
      <c r="E319" s="241"/>
      <c r="F319" s="242" t="str">
        <f t="shared" si="6"/>
        <v>-</v>
      </c>
    </row>
    <row r="320" spans="1:6" s="2" customFormat="1" x14ac:dyDescent="0.2">
      <c r="A320" s="238">
        <v>26464</v>
      </c>
      <c r="B320" s="243" t="s">
        <v>2425</v>
      </c>
      <c r="C320" s="240">
        <v>308</v>
      </c>
      <c r="D320" s="241"/>
      <c r="E320" s="241"/>
      <c r="F320" s="242" t="str">
        <f t="shared" si="6"/>
        <v>-</v>
      </c>
    </row>
    <row r="321" spans="1:7" s="2" customFormat="1" x14ac:dyDescent="0.2">
      <c r="A321" s="238">
        <v>26473</v>
      </c>
      <c r="B321" s="243" t="s">
        <v>1494</v>
      </c>
      <c r="C321" s="240">
        <v>309</v>
      </c>
      <c r="D321" s="241"/>
      <c r="E321" s="241"/>
      <c r="F321" s="242" t="str">
        <f t="shared" si="6"/>
        <v>-</v>
      </c>
    </row>
    <row r="322" spans="1:7" s="2" customFormat="1" x14ac:dyDescent="0.2">
      <c r="A322" s="238" t="s">
        <v>1495</v>
      </c>
      <c r="B322" s="243" t="s">
        <v>1496</v>
      </c>
      <c r="C322" s="240">
        <v>310</v>
      </c>
      <c r="D322" s="241"/>
      <c r="E322" s="241"/>
      <c r="F322" s="242" t="str">
        <f t="shared" si="6"/>
        <v>-</v>
      </c>
    </row>
    <row r="323" spans="1:7" s="2" customFormat="1" x14ac:dyDescent="0.2">
      <c r="A323" s="238">
        <v>26484</v>
      </c>
      <c r="B323" s="243" t="s">
        <v>1497</v>
      </c>
      <c r="C323" s="240">
        <v>311</v>
      </c>
      <c r="D323" s="241"/>
      <c r="E323" s="241"/>
      <c r="F323" s="242" t="str">
        <f t="shared" si="6"/>
        <v>-</v>
      </c>
    </row>
    <row r="324" spans="1:7" s="2" customFormat="1" x14ac:dyDescent="0.2">
      <c r="A324" s="238">
        <v>26534</v>
      </c>
      <c r="B324" s="243" t="s">
        <v>1498</v>
      </c>
      <c r="C324" s="240">
        <v>312</v>
      </c>
      <c r="D324" s="241"/>
      <c r="E324" s="241"/>
      <c r="F324" s="242" t="str">
        <f t="shared" si="6"/>
        <v>-</v>
      </c>
    </row>
    <row r="325" spans="1:7" s="2" customFormat="1" x14ac:dyDescent="0.2">
      <c r="A325" s="238">
        <v>26544</v>
      </c>
      <c r="B325" s="243" t="s">
        <v>1499</v>
      </c>
      <c r="C325" s="240">
        <v>313</v>
      </c>
      <c r="D325" s="241"/>
      <c r="E325" s="241"/>
      <c r="F325" s="242" t="str">
        <f t="shared" si="6"/>
        <v>-</v>
      </c>
    </row>
    <row r="326" spans="1:7" s="2" customFormat="1" x14ac:dyDescent="0.2">
      <c r="A326" s="238">
        <v>26554</v>
      </c>
      <c r="B326" s="243" t="s">
        <v>1500</v>
      </c>
      <c r="C326" s="240">
        <v>314</v>
      </c>
      <c r="D326" s="241"/>
      <c r="E326" s="241"/>
      <c r="F326" s="242" t="str">
        <f t="shared" si="6"/>
        <v>-</v>
      </c>
    </row>
    <row r="327" spans="1:7" s="2" customFormat="1" ht="14.1" customHeight="1" x14ac:dyDescent="0.2">
      <c r="A327" s="244">
        <v>26564</v>
      </c>
      <c r="B327" s="245" t="s">
        <v>1501</v>
      </c>
      <c r="C327" s="246">
        <v>315</v>
      </c>
      <c r="D327" s="247"/>
      <c r="E327" s="247"/>
      <c r="F327" s="248" t="str">
        <f>IF(D327&gt;0,IF(E327/D327&gt;=100,"&gt;&gt;100",E327/D327*100),"-")</f>
        <v>-</v>
      </c>
    </row>
    <row r="328" spans="1:7" x14ac:dyDescent="0.2"/>
    <row r="329" spans="1:7" s="179" customFormat="1" ht="25.5" customHeight="1" x14ac:dyDescent="0.2">
      <c r="A329" s="178" t="str">
        <f>RefStr!A65</f>
        <v>U ___________________________________ dana _________________ 20____ godine.</v>
      </c>
      <c r="B329" s="178"/>
      <c r="D329" s="452" t="s">
        <v>2209</v>
      </c>
      <c r="E329" s="452"/>
      <c r="F329" s="178"/>
      <c r="G329" s="194"/>
    </row>
    <row r="330" spans="1:7" s="179" customFormat="1" ht="15" customHeight="1" x14ac:dyDescent="0.2">
      <c r="A330" s="178" t="str">
        <f>IF(RefStr!H25&lt;&gt;"", "Osoba za kontaktiranje: " &amp; RefStr!H25,"Osoba za kontaktiranje: _________________________________________")</f>
        <v>Osoba za kontaktiranje: Željka Bosorić Baruškin</v>
      </c>
      <c r="B330" s="178"/>
      <c r="D330" s="180"/>
      <c r="E330" s="180"/>
      <c r="F330" s="178"/>
      <c r="G330" s="194"/>
    </row>
    <row r="331" spans="1:7" s="179" customFormat="1" ht="15" customHeight="1" x14ac:dyDescent="0.2">
      <c r="A331" s="178" t="str">
        <f>IF(RefStr!H27="","Telefon za kontakt: _________________","Telefon za kontakt: " &amp; RefStr!H27)</f>
        <v>Telefon za kontakt: 048210007</v>
      </c>
      <c r="B331" s="178"/>
      <c r="F331" s="178"/>
      <c r="G331" s="194"/>
    </row>
    <row r="332" spans="1:7" s="179" customFormat="1" ht="15" customHeight="1" x14ac:dyDescent="0.2">
      <c r="A332" s="178" t="str">
        <f>IF(RefStr!H33="","Odgovorna osoba: _____________________________","Odgovorna osoba: " &amp; RefStr!H33)</f>
        <v>Odgovorna osoba: Vjekoslav Maletić</v>
      </c>
      <c r="B332" s="178"/>
      <c r="C332" s="178"/>
      <c r="F332" s="178"/>
      <c r="G332" s="194"/>
    </row>
    <row r="333" spans="1:7" ht="5.0999999999999996" customHeight="1" x14ac:dyDescent="0.2"/>
  </sheetData>
  <sheetProtection password="C79A" sheet="1" objects="1" scenarios="1"/>
  <mergeCells count="13">
    <mergeCell ref="D329:E329"/>
    <mergeCell ref="B6:F6"/>
    <mergeCell ref="B7:F7"/>
    <mergeCell ref="A266:B266"/>
    <mergeCell ref="A1:B1"/>
    <mergeCell ref="C1:F1"/>
    <mergeCell ref="E2:F2"/>
    <mergeCell ref="A2:D2"/>
    <mergeCell ref="E4:F4"/>
    <mergeCell ref="B5:D5"/>
    <mergeCell ref="E5:F5"/>
    <mergeCell ref="A3:D3"/>
    <mergeCell ref="B4:D4"/>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3" t="s">
        <v>3609</v>
      </c>
      <c r="B1" s="464"/>
      <c r="C1" s="465" t="s">
        <v>3610</v>
      </c>
      <c r="D1" s="465"/>
      <c r="E1" s="465"/>
      <c r="F1" s="465"/>
    </row>
    <row r="2" spans="1:6" ht="39.950000000000003" customHeight="1" thickBot="1" x14ac:dyDescent="0.25">
      <c r="A2" s="458" t="s">
        <v>849</v>
      </c>
      <c r="B2" s="458"/>
      <c r="C2" s="458"/>
      <c r="D2" s="459"/>
      <c r="E2" s="467" t="s">
        <v>1777</v>
      </c>
      <c r="F2" s="468"/>
    </row>
    <row r="3" spans="1:6" ht="30" customHeight="1" x14ac:dyDescent="0.2">
      <c r="A3" s="466" t="str">
        <f>"za razdoblje "&amp;IF(RefStr!K10="","________________",TEXT(RefStr!K10,"d. mmmm yyyy.")&amp;" do "&amp;IF(RefStr!K12="","______________",TEXT(RefStr!K12,"d. mmmm yyyy.")))</f>
        <v>za razdoblje 1. siječanj 2021. do 30. rujan 2021.</v>
      </c>
      <c r="B3" s="466"/>
      <c r="C3" s="466"/>
      <c r="D3" s="466"/>
      <c r="E3" s="195"/>
      <c r="F3" s="195"/>
    </row>
    <row r="4" spans="1:6" ht="15" customHeight="1" x14ac:dyDescent="0.2">
      <c r="A4" s="32" t="s">
        <v>1094</v>
      </c>
      <c r="B4" s="446" t="str">
        <f>"RKP: "&amp;IF(RefStr!B6&lt;&gt;"",TEXT(INT(VALUE(RefStr!B6)),"00000"),"_____"&amp;",  "&amp;"MB: "&amp;IF(RefStr!B8&lt;&gt;"",TEXT(INT(VALUE(RefStr!B8)),"00000000"),"________")&amp;"  OIB: "&amp;IF(RefStr!K14&lt;&gt;"",RefStr!K14,"___________"))</f>
        <v>RKP: 27861</v>
      </c>
      <c r="C4" s="447"/>
      <c r="D4" s="447"/>
      <c r="E4" s="433">
        <f>SUM(Skriveni!G1299:G1435)</f>
        <v>0</v>
      </c>
      <c r="F4" s="434"/>
    </row>
    <row r="5" spans="1:6" ht="15" customHeight="1" x14ac:dyDescent="0.2">
      <c r="B5" s="446" t="str">
        <f>"Naziv: "&amp;IF(RefStr!B10&lt;&gt;"",RefStr!B10,"_______________________________________")</f>
        <v xml:space="preserve">Naziv: OPĆINA FERDINANDOVAC </v>
      </c>
      <c r="C5" s="447"/>
      <c r="D5" s="447"/>
      <c r="E5" s="435" t="s">
        <v>259</v>
      </c>
      <c r="F5" s="435"/>
    </row>
    <row r="6" spans="1:6" ht="15" customHeight="1" x14ac:dyDescent="0.2">
      <c r="A6" s="20"/>
      <c r="B6" s="448" t="str">
        <f xml:space="preserve"> "Razina: " &amp; RefStr!B16 &amp; ", Razdjel: " &amp; TEXT(INT(VALUE(RefStr!B20)), "000")</f>
        <v>Razina: 22, Razdjel: 000</v>
      </c>
      <c r="C6" s="449"/>
      <c r="D6" s="449"/>
      <c r="E6" s="449"/>
      <c r="F6" s="449"/>
    </row>
    <row r="7" spans="1:6" ht="15" customHeight="1" x14ac:dyDescent="0.2">
      <c r="A7" s="20"/>
      <c r="B7" s="448" t="str">
        <f>"Djelatnost: " &amp; RefStr!B18 &amp; " " &amp; RefStr!C18</f>
        <v>Djelatnost: 8411 Opće djelatnosti javne uprave</v>
      </c>
      <c r="C7" s="449"/>
      <c r="D7" s="449"/>
      <c r="E7" s="449"/>
      <c r="F7" s="449"/>
    </row>
    <row r="8" spans="1:6" ht="5.0999999999999996" customHeight="1" x14ac:dyDescent="0.2">
      <c r="A8" s="20"/>
      <c r="B8" s="195"/>
      <c r="C8" s="195"/>
      <c r="D8" s="195"/>
      <c r="E8" s="195"/>
      <c r="F8" s="195"/>
    </row>
    <row r="9" spans="1:6" ht="14.25" customHeight="1" x14ac:dyDescent="0.2">
      <c r="A9" s="21"/>
      <c r="B9" s="21"/>
      <c r="C9" s="21"/>
      <c r="D9" s="21"/>
      <c r="F9" s="175" t="s">
        <v>804</v>
      </c>
    </row>
    <row r="10" spans="1:6" ht="39" customHeight="1" x14ac:dyDescent="0.2">
      <c r="A10" s="158" t="s">
        <v>1108</v>
      </c>
      <c r="B10" s="154" t="s">
        <v>2993</v>
      </c>
      <c r="C10" s="154" t="s">
        <v>2203</v>
      </c>
      <c r="D10" s="182" t="s">
        <v>2923</v>
      </c>
      <c r="E10" s="196" t="s">
        <v>2924</v>
      </c>
      <c r="F10" s="183" t="s">
        <v>3409</v>
      </c>
    </row>
    <row r="11" spans="1:6" ht="12" customHeight="1" x14ac:dyDescent="0.2">
      <c r="A11" s="159">
        <v>1</v>
      </c>
      <c r="B11" s="155">
        <v>2</v>
      </c>
      <c r="C11" s="155">
        <v>3</v>
      </c>
      <c r="D11" s="155">
        <v>4</v>
      </c>
      <c r="E11" s="197">
        <v>5</v>
      </c>
      <c r="F11" s="184">
        <v>6</v>
      </c>
    </row>
    <row r="12" spans="1:6" s="2" customFormat="1" x14ac:dyDescent="0.2">
      <c r="A12" s="109" t="s">
        <v>1565</v>
      </c>
      <c r="B12" s="91" t="s">
        <v>2557</v>
      </c>
      <c r="C12" s="187">
        <v>1</v>
      </c>
      <c r="D12" s="87">
        <f>D13+D17+D20+SUM(D24:D28)</f>
        <v>0</v>
      </c>
      <c r="E12" s="87">
        <f>E13+E17+E20+SUM(E24:E28)</f>
        <v>0</v>
      </c>
      <c r="F12" s="110" t="str">
        <f>IF(D12&gt;0,IF(E12/D12&gt;=100,"&gt;&gt;100",E12/D12*100),"-")</f>
        <v>-</v>
      </c>
    </row>
    <row r="13" spans="1:6" s="2" customFormat="1" x14ac:dyDescent="0.2">
      <c r="A13" s="111" t="s">
        <v>1937</v>
      </c>
      <c r="B13" s="92" t="s">
        <v>1107</v>
      </c>
      <c r="C13" s="190">
        <v>2</v>
      </c>
      <c r="D13" s="88">
        <f>SUM(D14:D16)</f>
        <v>0</v>
      </c>
      <c r="E13" s="88">
        <f>SUM(E14:E16)</f>
        <v>0</v>
      </c>
      <c r="F13" s="107" t="str">
        <f>IF(D13&gt;0,IF(E13/D13&gt;=100,"&gt;&gt;100",E13/D13*100),"-")</f>
        <v>-</v>
      </c>
    </row>
    <row r="14" spans="1:6" s="2" customFormat="1" x14ac:dyDescent="0.2">
      <c r="A14" s="111" t="s">
        <v>850</v>
      </c>
      <c r="B14" s="93" t="s">
        <v>1261</v>
      </c>
      <c r="C14" s="190">
        <v>3</v>
      </c>
      <c r="D14" s="85"/>
      <c r="E14" s="85"/>
      <c r="F14" s="107" t="str">
        <f t="shared" ref="F14:F77" si="0">IF(D14&gt;0,IF(E14/D14&gt;=100,"&gt;&gt;100",E14/D14*100),"-")</f>
        <v>-</v>
      </c>
    </row>
    <row r="15" spans="1:6" s="2" customFormat="1" x14ac:dyDescent="0.2">
      <c r="A15" s="111" t="s">
        <v>1262</v>
      </c>
      <c r="B15" s="93" t="s">
        <v>1263</v>
      </c>
      <c r="C15" s="190">
        <v>4</v>
      </c>
      <c r="D15" s="85"/>
      <c r="E15" s="85"/>
      <c r="F15" s="107" t="str">
        <f t="shared" si="0"/>
        <v>-</v>
      </c>
    </row>
    <row r="16" spans="1:6" s="2" customFormat="1" x14ac:dyDescent="0.2">
      <c r="A16" s="111" t="s">
        <v>1264</v>
      </c>
      <c r="B16" s="93" t="s">
        <v>2932</v>
      </c>
      <c r="C16" s="190">
        <v>5</v>
      </c>
      <c r="D16" s="85"/>
      <c r="E16" s="85"/>
      <c r="F16" s="107" t="str">
        <f t="shared" si="0"/>
        <v>-</v>
      </c>
    </row>
    <row r="17" spans="1:6" s="2" customFormat="1" x14ac:dyDescent="0.2">
      <c r="A17" s="111" t="s">
        <v>1939</v>
      </c>
      <c r="B17" s="93" t="s">
        <v>1265</v>
      </c>
      <c r="C17" s="190">
        <v>6</v>
      </c>
      <c r="D17" s="88">
        <f>SUM(D18:D19)</f>
        <v>0</v>
      </c>
      <c r="E17" s="88">
        <f>SUM(E18:E19)</f>
        <v>0</v>
      </c>
      <c r="F17" s="107" t="str">
        <f t="shared" si="0"/>
        <v>-</v>
      </c>
    </row>
    <row r="18" spans="1:6" s="2" customFormat="1" x14ac:dyDescent="0.2">
      <c r="A18" s="111" t="s">
        <v>1266</v>
      </c>
      <c r="B18" s="93" t="s">
        <v>1267</v>
      </c>
      <c r="C18" s="190">
        <v>7</v>
      </c>
      <c r="D18" s="85"/>
      <c r="E18" s="85"/>
      <c r="F18" s="107" t="str">
        <f t="shared" si="0"/>
        <v>-</v>
      </c>
    </row>
    <row r="19" spans="1:6" s="2" customFormat="1" x14ac:dyDescent="0.2">
      <c r="A19" s="111" t="s">
        <v>307</v>
      </c>
      <c r="B19" s="93" t="s">
        <v>3270</v>
      </c>
      <c r="C19" s="190">
        <v>8</v>
      </c>
      <c r="D19" s="85"/>
      <c r="E19" s="85"/>
      <c r="F19" s="107" t="str">
        <f t="shared" si="0"/>
        <v>-</v>
      </c>
    </row>
    <row r="20" spans="1:6" s="2" customFormat="1" x14ac:dyDescent="0.2">
      <c r="A20" s="111" t="s">
        <v>3271</v>
      </c>
      <c r="B20" s="93" t="s">
        <v>3526</v>
      </c>
      <c r="C20" s="190">
        <v>9</v>
      </c>
      <c r="D20" s="88">
        <f>SUM(D21:D23)</f>
        <v>0</v>
      </c>
      <c r="E20" s="88">
        <f>SUM(E21:E23)</f>
        <v>0</v>
      </c>
      <c r="F20" s="107" t="str">
        <f t="shared" si="0"/>
        <v>-</v>
      </c>
    </row>
    <row r="21" spans="1:6" s="2" customFormat="1" x14ac:dyDescent="0.2">
      <c r="A21" s="111" t="s">
        <v>3272</v>
      </c>
      <c r="B21" s="93" t="s">
        <v>2813</v>
      </c>
      <c r="C21" s="190">
        <v>10</v>
      </c>
      <c r="D21" s="85"/>
      <c r="E21" s="85"/>
      <c r="F21" s="107" t="str">
        <f t="shared" si="0"/>
        <v>-</v>
      </c>
    </row>
    <row r="22" spans="1:6" s="2" customFormat="1" x14ac:dyDescent="0.2">
      <c r="A22" s="111" t="s">
        <v>2814</v>
      </c>
      <c r="B22" s="93" t="s">
        <v>1653</v>
      </c>
      <c r="C22" s="190">
        <v>11</v>
      </c>
      <c r="D22" s="85"/>
      <c r="E22" s="85"/>
      <c r="F22" s="107" t="str">
        <f t="shared" si="0"/>
        <v>-</v>
      </c>
    </row>
    <row r="23" spans="1:6" s="2" customFormat="1" x14ac:dyDescent="0.2">
      <c r="A23" s="111" t="s">
        <v>1654</v>
      </c>
      <c r="B23" s="93" t="s">
        <v>1907</v>
      </c>
      <c r="C23" s="190">
        <v>12</v>
      </c>
      <c r="D23" s="85"/>
      <c r="E23" s="85"/>
      <c r="F23" s="107" t="str">
        <f t="shared" si="0"/>
        <v>-</v>
      </c>
    </row>
    <row r="24" spans="1:6" s="2" customFormat="1" x14ac:dyDescent="0.2">
      <c r="A24" s="111" t="s">
        <v>1908</v>
      </c>
      <c r="B24" s="93" t="s">
        <v>3743</v>
      </c>
      <c r="C24" s="190">
        <v>13</v>
      </c>
      <c r="D24" s="85"/>
      <c r="E24" s="85"/>
      <c r="F24" s="107" t="str">
        <f t="shared" si="0"/>
        <v>-</v>
      </c>
    </row>
    <row r="25" spans="1:6" s="2" customFormat="1" x14ac:dyDescent="0.2">
      <c r="A25" s="111" t="s">
        <v>3744</v>
      </c>
      <c r="B25" s="93" t="s">
        <v>3437</v>
      </c>
      <c r="C25" s="190">
        <v>14</v>
      </c>
      <c r="D25" s="85"/>
      <c r="E25" s="85"/>
      <c r="F25" s="107" t="str">
        <f t="shared" si="0"/>
        <v>-</v>
      </c>
    </row>
    <row r="26" spans="1:6" s="2" customFormat="1" x14ac:dyDescent="0.2">
      <c r="A26" s="111" t="s">
        <v>3438</v>
      </c>
      <c r="B26" s="93" t="s">
        <v>3439</v>
      </c>
      <c r="C26" s="190">
        <v>15</v>
      </c>
      <c r="D26" s="85"/>
      <c r="E26" s="85"/>
      <c r="F26" s="107" t="str">
        <f t="shared" si="0"/>
        <v>-</v>
      </c>
    </row>
    <row r="27" spans="1:6" s="2" customFormat="1" x14ac:dyDescent="0.2">
      <c r="A27" s="111" t="s">
        <v>2810</v>
      </c>
      <c r="B27" s="93" t="s">
        <v>2811</v>
      </c>
      <c r="C27" s="190">
        <v>16</v>
      </c>
      <c r="D27" s="85"/>
      <c r="E27" s="85"/>
      <c r="F27" s="107" t="str">
        <f t="shared" si="0"/>
        <v>-</v>
      </c>
    </row>
    <row r="28" spans="1:6" s="2" customFormat="1" x14ac:dyDescent="0.2">
      <c r="A28" s="111" t="s">
        <v>2812</v>
      </c>
      <c r="B28" s="93" t="s">
        <v>3185</v>
      </c>
      <c r="C28" s="190">
        <v>17</v>
      </c>
      <c r="D28" s="85"/>
      <c r="E28" s="85"/>
      <c r="F28" s="107" t="str">
        <f t="shared" si="0"/>
        <v>-</v>
      </c>
    </row>
    <row r="29" spans="1:6" s="2" customFormat="1" x14ac:dyDescent="0.2">
      <c r="A29" s="111" t="s">
        <v>1685</v>
      </c>
      <c r="B29" s="93" t="s">
        <v>3525</v>
      </c>
      <c r="C29" s="190">
        <v>18</v>
      </c>
      <c r="D29" s="88">
        <f>SUM(D30:D34)</f>
        <v>0</v>
      </c>
      <c r="E29" s="88">
        <f>SUM(E30:E34)</f>
        <v>0</v>
      </c>
      <c r="F29" s="107" t="str">
        <f t="shared" si="0"/>
        <v>-</v>
      </c>
    </row>
    <row r="30" spans="1:6" s="2" customFormat="1" x14ac:dyDescent="0.2">
      <c r="A30" s="111" t="s">
        <v>3186</v>
      </c>
      <c r="B30" s="93" t="s">
        <v>3187</v>
      </c>
      <c r="C30" s="190">
        <v>19</v>
      </c>
      <c r="D30" s="85"/>
      <c r="E30" s="85"/>
      <c r="F30" s="107" t="str">
        <f t="shared" si="0"/>
        <v>-</v>
      </c>
    </row>
    <row r="31" spans="1:6" s="2" customFormat="1" x14ac:dyDescent="0.2">
      <c r="A31" s="111" t="s">
        <v>3188</v>
      </c>
      <c r="B31" s="93" t="s">
        <v>3189</v>
      </c>
      <c r="C31" s="190">
        <v>20</v>
      </c>
      <c r="D31" s="85"/>
      <c r="E31" s="85"/>
      <c r="F31" s="107" t="str">
        <f t="shared" si="0"/>
        <v>-</v>
      </c>
    </row>
    <row r="32" spans="1:6" s="2" customFormat="1" x14ac:dyDescent="0.2">
      <c r="A32" s="111" t="s">
        <v>3190</v>
      </c>
      <c r="B32" s="93" t="s">
        <v>3191</v>
      </c>
      <c r="C32" s="190">
        <v>21</v>
      </c>
      <c r="D32" s="85"/>
      <c r="E32" s="85"/>
      <c r="F32" s="107" t="str">
        <f t="shared" si="0"/>
        <v>-</v>
      </c>
    </row>
    <row r="33" spans="1:6" s="2" customFormat="1" x14ac:dyDescent="0.2">
      <c r="A33" s="111" t="s">
        <v>3192</v>
      </c>
      <c r="B33" s="93" t="s">
        <v>1645</v>
      </c>
      <c r="C33" s="190">
        <v>22</v>
      </c>
      <c r="D33" s="85"/>
      <c r="E33" s="85"/>
      <c r="F33" s="107" t="str">
        <f t="shared" si="0"/>
        <v>-</v>
      </c>
    </row>
    <row r="34" spans="1:6" s="2" customFormat="1" x14ac:dyDescent="0.2">
      <c r="A34" s="111" t="s">
        <v>1646</v>
      </c>
      <c r="B34" s="93" t="s">
        <v>1647</v>
      </c>
      <c r="C34" s="190">
        <v>23</v>
      </c>
      <c r="D34" s="85"/>
      <c r="E34" s="85"/>
      <c r="F34" s="107" t="str">
        <f t="shared" si="0"/>
        <v>-</v>
      </c>
    </row>
    <row r="35" spans="1:6" s="2" customFormat="1" x14ac:dyDescent="0.2">
      <c r="A35" s="111" t="s">
        <v>3423</v>
      </c>
      <c r="B35" s="93" t="s">
        <v>1574</v>
      </c>
      <c r="C35" s="190">
        <v>24</v>
      </c>
      <c r="D35" s="88">
        <f>SUM(D36:D41)</f>
        <v>0</v>
      </c>
      <c r="E35" s="88">
        <f>SUM(E36:E41)</f>
        <v>0</v>
      </c>
      <c r="F35" s="107" t="str">
        <f t="shared" si="0"/>
        <v>-</v>
      </c>
    </row>
    <row r="36" spans="1:6" s="2" customFormat="1" x14ac:dyDescent="0.2">
      <c r="A36" s="111" t="s">
        <v>1648</v>
      </c>
      <c r="B36" s="93" t="s">
        <v>1649</v>
      </c>
      <c r="C36" s="190">
        <v>25</v>
      </c>
      <c r="D36" s="85"/>
      <c r="E36" s="85"/>
      <c r="F36" s="107" t="str">
        <f t="shared" si="0"/>
        <v>-</v>
      </c>
    </row>
    <row r="37" spans="1:6" s="2" customFormat="1" x14ac:dyDescent="0.2">
      <c r="A37" s="111" t="s">
        <v>1650</v>
      </c>
      <c r="B37" s="93" t="s">
        <v>1651</v>
      </c>
      <c r="C37" s="190">
        <v>26</v>
      </c>
      <c r="D37" s="85"/>
      <c r="E37" s="85"/>
      <c r="F37" s="107" t="str">
        <f t="shared" si="0"/>
        <v>-</v>
      </c>
    </row>
    <row r="38" spans="1:6" s="2" customFormat="1" x14ac:dyDescent="0.2">
      <c r="A38" s="111" t="s">
        <v>1652</v>
      </c>
      <c r="B38" s="93" t="s">
        <v>1700</v>
      </c>
      <c r="C38" s="190">
        <v>27</v>
      </c>
      <c r="D38" s="85"/>
      <c r="E38" s="85"/>
      <c r="F38" s="107" t="str">
        <f t="shared" si="0"/>
        <v>-</v>
      </c>
    </row>
    <row r="39" spans="1:6" s="2" customFormat="1" x14ac:dyDescent="0.2">
      <c r="A39" s="111" t="s">
        <v>1701</v>
      </c>
      <c r="B39" s="93" t="s">
        <v>1702</v>
      </c>
      <c r="C39" s="190">
        <v>28</v>
      </c>
      <c r="D39" s="85"/>
      <c r="E39" s="85"/>
      <c r="F39" s="107" t="str">
        <f t="shared" si="0"/>
        <v>-</v>
      </c>
    </row>
    <row r="40" spans="1:6" s="2" customFormat="1" x14ac:dyDescent="0.2">
      <c r="A40" s="111" t="s">
        <v>1703</v>
      </c>
      <c r="B40" s="93" t="s">
        <v>1704</v>
      </c>
      <c r="C40" s="190">
        <v>29</v>
      </c>
      <c r="D40" s="85"/>
      <c r="E40" s="85"/>
      <c r="F40" s="107" t="str">
        <f t="shared" si="0"/>
        <v>-</v>
      </c>
    </row>
    <row r="41" spans="1:6" s="2" customFormat="1" x14ac:dyDescent="0.2">
      <c r="A41" s="111" t="s">
        <v>1705</v>
      </c>
      <c r="B41" s="93" t="s">
        <v>2003</v>
      </c>
      <c r="C41" s="190">
        <v>30</v>
      </c>
      <c r="D41" s="85"/>
      <c r="E41" s="85"/>
      <c r="F41" s="107" t="str">
        <f t="shared" si="0"/>
        <v>-</v>
      </c>
    </row>
    <row r="42" spans="1:6" s="2" customFormat="1" x14ac:dyDescent="0.2">
      <c r="A42" s="111" t="s">
        <v>3170</v>
      </c>
      <c r="B42" s="93" t="s">
        <v>2004</v>
      </c>
      <c r="C42" s="190">
        <v>31</v>
      </c>
      <c r="D42" s="88">
        <f>D43+D46+D50+D57+D61+D67+D68+D73+D81</f>
        <v>0</v>
      </c>
      <c r="E42" s="88">
        <f>E43+E46+E50+E57+E61+E67+E68+E73+E81</f>
        <v>0</v>
      </c>
      <c r="F42" s="107" t="str">
        <f t="shared" si="0"/>
        <v>-</v>
      </c>
    </row>
    <row r="43" spans="1:6" s="2" customFormat="1" x14ac:dyDescent="0.2">
      <c r="A43" s="111" t="s">
        <v>3714</v>
      </c>
      <c r="B43" s="93" t="s">
        <v>52</v>
      </c>
      <c r="C43" s="190">
        <v>32</v>
      </c>
      <c r="D43" s="88">
        <f>SUM(D44:D45)</f>
        <v>0</v>
      </c>
      <c r="E43" s="88">
        <f>SUM(E44:E45)</f>
        <v>0</v>
      </c>
      <c r="F43" s="107" t="str">
        <f t="shared" si="0"/>
        <v>-</v>
      </c>
    </row>
    <row r="44" spans="1:6" s="2" customFormat="1" x14ac:dyDescent="0.2">
      <c r="A44" s="111" t="s">
        <v>53</v>
      </c>
      <c r="B44" s="93" t="s">
        <v>54</v>
      </c>
      <c r="C44" s="190">
        <v>33</v>
      </c>
      <c r="D44" s="85"/>
      <c r="E44" s="85"/>
      <c r="F44" s="107" t="str">
        <f t="shared" si="0"/>
        <v>-</v>
      </c>
    </row>
    <row r="45" spans="1:6" s="2" customFormat="1" x14ac:dyDescent="0.2">
      <c r="A45" s="111" t="s">
        <v>55</v>
      </c>
      <c r="B45" s="93" t="s">
        <v>56</v>
      </c>
      <c r="C45" s="190">
        <v>34</v>
      </c>
      <c r="D45" s="85"/>
      <c r="E45" s="85"/>
      <c r="F45" s="107" t="str">
        <f t="shared" si="0"/>
        <v>-</v>
      </c>
    </row>
    <row r="46" spans="1:6" s="2" customFormat="1" x14ac:dyDescent="0.2">
      <c r="A46" s="111" t="s">
        <v>3715</v>
      </c>
      <c r="B46" s="93" t="s">
        <v>3524</v>
      </c>
      <c r="C46" s="190">
        <v>35</v>
      </c>
      <c r="D46" s="88">
        <f>SUM(D47:D49)</f>
        <v>0</v>
      </c>
      <c r="E46" s="88">
        <f>SUM(E47:E49)</f>
        <v>0</v>
      </c>
      <c r="F46" s="107" t="str">
        <f t="shared" si="0"/>
        <v>-</v>
      </c>
    </row>
    <row r="47" spans="1:6" s="2" customFormat="1" x14ac:dyDescent="0.2">
      <c r="A47" s="111" t="s">
        <v>57</v>
      </c>
      <c r="B47" s="93" t="s">
        <v>58</v>
      </c>
      <c r="C47" s="190">
        <v>36</v>
      </c>
      <c r="D47" s="85"/>
      <c r="E47" s="85"/>
      <c r="F47" s="107" t="str">
        <f t="shared" si="0"/>
        <v>-</v>
      </c>
    </row>
    <row r="48" spans="1:6" s="2" customFormat="1" x14ac:dyDescent="0.2">
      <c r="A48" s="111" t="s">
        <v>59</v>
      </c>
      <c r="B48" s="93" t="s">
        <v>60</v>
      </c>
      <c r="C48" s="190">
        <v>37</v>
      </c>
      <c r="D48" s="85"/>
      <c r="E48" s="85"/>
      <c r="F48" s="107" t="str">
        <f t="shared" si="0"/>
        <v>-</v>
      </c>
    </row>
    <row r="49" spans="1:6" s="2" customFormat="1" x14ac:dyDescent="0.2">
      <c r="A49" s="111" t="s">
        <v>61</v>
      </c>
      <c r="B49" s="93" t="s">
        <v>62</v>
      </c>
      <c r="C49" s="190">
        <v>38</v>
      </c>
      <c r="D49" s="85"/>
      <c r="E49" s="85"/>
      <c r="F49" s="107" t="str">
        <f t="shared" si="0"/>
        <v>-</v>
      </c>
    </row>
    <row r="50" spans="1:6" s="2" customFormat="1" x14ac:dyDescent="0.2">
      <c r="A50" s="111" t="s">
        <v>63</v>
      </c>
      <c r="B50" s="93" t="s">
        <v>3523</v>
      </c>
      <c r="C50" s="190">
        <v>39</v>
      </c>
      <c r="D50" s="88">
        <f>SUM(D51:D56)</f>
        <v>0</v>
      </c>
      <c r="E50" s="88">
        <f>SUM(E51:E56)</f>
        <v>0</v>
      </c>
      <c r="F50" s="107" t="str">
        <f t="shared" si="0"/>
        <v>-</v>
      </c>
    </row>
    <row r="51" spans="1:6" s="2" customFormat="1" x14ac:dyDescent="0.2">
      <c r="A51" s="111" t="s">
        <v>64</v>
      </c>
      <c r="B51" s="93" t="s">
        <v>3882</v>
      </c>
      <c r="C51" s="190">
        <v>40</v>
      </c>
      <c r="D51" s="85"/>
      <c r="E51" s="85"/>
      <c r="F51" s="107" t="str">
        <f t="shared" si="0"/>
        <v>-</v>
      </c>
    </row>
    <row r="52" spans="1:6" s="2" customFormat="1" x14ac:dyDescent="0.2">
      <c r="A52" s="111" t="s">
        <v>3883</v>
      </c>
      <c r="B52" s="93" t="s">
        <v>3884</v>
      </c>
      <c r="C52" s="190">
        <v>41</v>
      </c>
      <c r="D52" s="85"/>
      <c r="E52" s="85"/>
      <c r="F52" s="107" t="str">
        <f t="shared" si="0"/>
        <v>-</v>
      </c>
    </row>
    <row r="53" spans="1:6" s="2" customFormat="1" x14ac:dyDescent="0.2">
      <c r="A53" s="111" t="s">
        <v>3885</v>
      </c>
      <c r="B53" s="93" t="s">
        <v>3470</v>
      </c>
      <c r="C53" s="190">
        <v>42</v>
      </c>
      <c r="D53" s="85"/>
      <c r="E53" s="85"/>
      <c r="F53" s="107" t="str">
        <f t="shared" si="0"/>
        <v>-</v>
      </c>
    </row>
    <row r="54" spans="1:6" s="2" customFormat="1" x14ac:dyDescent="0.2">
      <c r="A54" s="111" t="s">
        <v>3471</v>
      </c>
      <c r="B54" s="93" t="s">
        <v>3472</v>
      </c>
      <c r="C54" s="190">
        <v>43</v>
      </c>
      <c r="D54" s="85"/>
      <c r="E54" s="85"/>
      <c r="F54" s="107" t="str">
        <f t="shared" si="0"/>
        <v>-</v>
      </c>
    </row>
    <row r="55" spans="1:6" s="2" customFormat="1" x14ac:dyDescent="0.2">
      <c r="A55" s="111" t="s">
        <v>3473</v>
      </c>
      <c r="B55" s="93" t="s">
        <v>3474</v>
      </c>
      <c r="C55" s="190">
        <v>44</v>
      </c>
      <c r="D55" s="85"/>
      <c r="E55" s="85"/>
      <c r="F55" s="107" t="str">
        <f t="shared" si="0"/>
        <v>-</v>
      </c>
    </row>
    <row r="56" spans="1:6" s="2" customFormat="1" x14ac:dyDescent="0.2">
      <c r="A56" s="111" t="s">
        <v>3475</v>
      </c>
      <c r="B56" s="93" t="s">
        <v>316</v>
      </c>
      <c r="C56" s="190">
        <v>45</v>
      </c>
      <c r="D56" s="85"/>
      <c r="E56" s="85"/>
      <c r="F56" s="107" t="str">
        <f t="shared" si="0"/>
        <v>-</v>
      </c>
    </row>
    <row r="57" spans="1:6" s="2" customFormat="1" x14ac:dyDescent="0.2">
      <c r="A57" s="111" t="s">
        <v>317</v>
      </c>
      <c r="B57" s="93" t="s">
        <v>3522</v>
      </c>
      <c r="C57" s="190">
        <v>46</v>
      </c>
      <c r="D57" s="88">
        <f>SUM(D58:D60)</f>
        <v>0</v>
      </c>
      <c r="E57" s="88">
        <f>SUM(E58:E60)</f>
        <v>0</v>
      </c>
      <c r="F57" s="107" t="str">
        <f t="shared" si="0"/>
        <v>-</v>
      </c>
    </row>
    <row r="58" spans="1:6" s="2" customFormat="1" x14ac:dyDescent="0.2">
      <c r="A58" s="111" t="s">
        <v>318</v>
      </c>
      <c r="B58" s="93" t="s">
        <v>753</v>
      </c>
      <c r="C58" s="190">
        <v>47</v>
      </c>
      <c r="D58" s="85"/>
      <c r="E58" s="85"/>
      <c r="F58" s="107" t="str">
        <f t="shared" si="0"/>
        <v>-</v>
      </c>
    </row>
    <row r="59" spans="1:6" s="2" customFormat="1" x14ac:dyDescent="0.2">
      <c r="A59" s="111" t="s">
        <v>754</v>
      </c>
      <c r="B59" s="93" t="s">
        <v>755</v>
      </c>
      <c r="C59" s="190">
        <v>48</v>
      </c>
      <c r="D59" s="85"/>
      <c r="E59" s="85"/>
      <c r="F59" s="107" t="str">
        <f t="shared" si="0"/>
        <v>-</v>
      </c>
    </row>
    <row r="60" spans="1:6" s="2" customFormat="1" x14ac:dyDescent="0.2">
      <c r="A60" s="111" t="s">
        <v>2271</v>
      </c>
      <c r="B60" s="93" t="s">
        <v>2272</v>
      </c>
      <c r="C60" s="190">
        <v>49</v>
      </c>
      <c r="D60" s="85"/>
      <c r="E60" s="85"/>
      <c r="F60" s="107" t="str">
        <f t="shared" si="0"/>
        <v>-</v>
      </c>
    </row>
    <row r="61" spans="1:6" s="2" customFormat="1" x14ac:dyDescent="0.2">
      <c r="A61" s="111" t="s">
        <v>2273</v>
      </c>
      <c r="B61" s="93" t="s">
        <v>3614</v>
      </c>
      <c r="C61" s="190">
        <v>50</v>
      </c>
      <c r="D61" s="88">
        <f>SUM(D62:D66)</f>
        <v>0</v>
      </c>
      <c r="E61" s="88">
        <f>SUM(E62:E66)</f>
        <v>0</v>
      </c>
      <c r="F61" s="107" t="str">
        <f t="shared" si="0"/>
        <v>-</v>
      </c>
    </row>
    <row r="62" spans="1:6" s="2" customFormat="1" x14ac:dyDescent="0.2">
      <c r="A62" s="111" t="s">
        <v>2274</v>
      </c>
      <c r="B62" s="93" t="s">
        <v>2275</v>
      </c>
      <c r="C62" s="190">
        <v>51</v>
      </c>
      <c r="D62" s="85"/>
      <c r="E62" s="85"/>
      <c r="F62" s="107" t="str">
        <f t="shared" si="0"/>
        <v>-</v>
      </c>
    </row>
    <row r="63" spans="1:6" s="2" customFormat="1" x14ac:dyDescent="0.2">
      <c r="A63" s="111" t="s">
        <v>2276</v>
      </c>
      <c r="B63" s="93" t="s">
        <v>3410</v>
      </c>
      <c r="C63" s="190">
        <v>52</v>
      </c>
      <c r="D63" s="85"/>
      <c r="E63" s="85"/>
      <c r="F63" s="107" t="str">
        <f t="shared" si="0"/>
        <v>-</v>
      </c>
    </row>
    <row r="64" spans="1:6" s="2" customFormat="1" x14ac:dyDescent="0.2">
      <c r="A64" s="111" t="s">
        <v>2277</v>
      </c>
      <c r="B64" s="93" t="s">
        <v>2278</v>
      </c>
      <c r="C64" s="190">
        <v>53</v>
      </c>
      <c r="D64" s="85"/>
      <c r="E64" s="85"/>
      <c r="F64" s="107" t="str">
        <f t="shared" si="0"/>
        <v>-</v>
      </c>
    </row>
    <row r="65" spans="1:6" s="2" customFormat="1" x14ac:dyDescent="0.2">
      <c r="A65" s="111" t="s">
        <v>2279</v>
      </c>
      <c r="B65" s="93" t="s">
        <v>2280</v>
      </c>
      <c r="C65" s="190">
        <v>54</v>
      </c>
      <c r="D65" s="85"/>
      <c r="E65" s="85"/>
      <c r="F65" s="107" t="str">
        <f t="shared" si="0"/>
        <v>-</v>
      </c>
    </row>
    <row r="66" spans="1:6" s="2" customFormat="1" x14ac:dyDescent="0.2">
      <c r="A66" s="111" t="s">
        <v>2281</v>
      </c>
      <c r="B66" s="93" t="s">
        <v>3393</v>
      </c>
      <c r="C66" s="190">
        <v>55</v>
      </c>
      <c r="D66" s="85"/>
      <c r="E66" s="85"/>
      <c r="F66" s="107" t="str">
        <f t="shared" si="0"/>
        <v>-</v>
      </c>
    </row>
    <row r="67" spans="1:6" s="2" customFormat="1" x14ac:dyDescent="0.2">
      <c r="A67" s="111" t="s">
        <v>3394</v>
      </c>
      <c r="B67" s="93" t="s">
        <v>3395</v>
      </c>
      <c r="C67" s="190">
        <v>56</v>
      </c>
      <c r="D67" s="85"/>
      <c r="E67" s="85"/>
      <c r="F67" s="107" t="str">
        <f t="shared" si="0"/>
        <v>-</v>
      </c>
    </row>
    <row r="68" spans="1:6" s="2" customFormat="1" x14ac:dyDescent="0.2">
      <c r="A68" s="111" t="s">
        <v>3396</v>
      </c>
      <c r="B68" s="93" t="s">
        <v>3613</v>
      </c>
      <c r="C68" s="190">
        <v>57</v>
      </c>
      <c r="D68" s="88">
        <f>SUM(D69:D72)</f>
        <v>0</v>
      </c>
      <c r="E68" s="88">
        <f>SUM(E69:E72)</f>
        <v>0</v>
      </c>
      <c r="F68" s="107" t="str">
        <f t="shared" si="0"/>
        <v>-</v>
      </c>
    </row>
    <row r="69" spans="1:6" s="2" customFormat="1" x14ac:dyDescent="0.2">
      <c r="A69" s="111" t="s">
        <v>2081</v>
      </c>
      <c r="B69" s="93" t="s">
        <v>2082</v>
      </c>
      <c r="C69" s="190">
        <v>58</v>
      </c>
      <c r="D69" s="85"/>
      <c r="E69" s="85"/>
      <c r="F69" s="107" t="str">
        <f t="shared" si="0"/>
        <v>-</v>
      </c>
    </row>
    <row r="70" spans="1:6" s="2" customFormat="1" x14ac:dyDescent="0.2">
      <c r="A70" s="111" t="s">
        <v>2083</v>
      </c>
      <c r="B70" s="93" t="s">
        <v>2084</v>
      </c>
      <c r="C70" s="190">
        <v>59</v>
      </c>
      <c r="D70" s="85"/>
      <c r="E70" s="85"/>
      <c r="F70" s="107" t="str">
        <f t="shared" si="0"/>
        <v>-</v>
      </c>
    </row>
    <row r="71" spans="1:6" s="2" customFormat="1" x14ac:dyDescent="0.2">
      <c r="A71" s="111" t="s">
        <v>2085</v>
      </c>
      <c r="B71" s="93" t="s">
        <v>2086</v>
      </c>
      <c r="C71" s="190">
        <v>60</v>
      </c>
      <c r="D71" s="85"/>
      <c r="E71" s="85"/>
      <c r="F71" s="107" t="str">
        <f t="shared" si="0"/>
        <v>-</v>
      </c>
    </row>
    <row r="72" spans="1:6" s="2" customFormat="1" x14ac:dyDescent="0.2">
      <c r="A72" s="111" t="s">
        <v>2087</v>
      </c>
      <c r="B72" s="93" t="s">
        <v>2088</v>
      </c>
      <c r="C72" s="190">
        <v>61</v>
      </c>
      <c r="D72" s="85"/>
      <c r="E72" s="85"/>
      <c r="F72" s="107" t="str">
        <f t="shared" si="0"/>
        <v>-</v>
      </c>
    </row>
    <row r="73" spans="1:6" s="2" customFormat="1" x14ac:dyDescent="0.2">
      <c r="A73" s="111" t="s">
        <v>2089</v>
      </c>
      <c r="B73" s="93" t="s">
        <v>2090</v>
      </c>
      <c r="C73" s="190">
        <v>62</v>
      </c>
      <c r="D73" s="88">
        <f>SUM(D74:D80)</f>
        <v>0</v>
      </c>
      <c r="E73" s="88">
        <f>SUM(E74:E80)</f>
        <v>0</v>
      </c>
      <c r="F73" s="107" t="str">
        <f t="shared" si="0"/>
        <v>-</v>
      </c>
    </row>
    <row r="74" spans="1:6" s="2" customFormat="1" x14ac:dyDescent="0.2">
      <c r="A74" s="111" t="s">
        <v>2091</v>
      </c>
      <c r="B74" s="93" t="s">
        <v>1357</v>
      </c>
      <c r="C74" s="190">
        <v>63</v>
      </c>
      <c r="D74" s="85"/>
      <c r="E74" s="85"/>
      <c r="F74" s="107" t="str">
        <f t="shared" si="0"/>
        <v>-</v>
      </c>
    </row>
    <row r="75" spans="1:6" s="2" customFormat="1" x14ac:dyDescent="0.2">
      <c r="A75" s="111" t="s">
        <v>1358</v>
      </c>
      <c r="B75" s="93" t="s">
        <v>1359</v>
      </c>
      <c r="C75" s="190">
        <v>64</v>
      </c>
      <c r="D75" s="85"/>
      <c r="E75" s="85"/>
      <c r="F75" s="107" t="str">
        <f t="shared" si="0"/>
        <v>-</v>
      </c>
    </row>
    <row r="76" spans="1:6" s="2" customFormat="1" x14ac:dyDescent="0.2">
      <c r="A76" s="111" t="s">
        <v>1360</v>
      </c>
      <c r="B76" s="93" t="s">
        <v>1361</v>
      </c>
      <c r="C76" s="190">
        <v>65</v>
      </c>
      <c r="D76" s="85"/>
      <c r="E76" s="85"/>
      <c r="F76" s="107" t="str">
        <f t="shared" si="0"/>
        <v>-</v>
      </c>
    </row>
    <row r="77" spans="1:6" s="2" customFormat="1" x14ac:dyDescent="0.2">
      <c r="A77" s="111" t="s">
        <v>1362</v>
      </c>
      <c r="B77" s="93" t="s">
        <v>1363</v>
      </c>
      <c r="C77" s="190">
        <v>66</v>
      </c>
      <c r="D77" s="85"/>
      <c r="E77" s="85"/>
      <c r="F77" s="107" t="str">
        <f t="shared" si="0"/>
        <v>-</v>
      </c>
    </row>
    <row r="78" spans="1:6" s="2" customFormat="1" x14ac:dyDescent="0.2">
      <c r="A78" s="111" t="s">
        <v>1364</v>
      </c>
      <c r="B78" s="93" t="s">
        <v>1365</v>
      </c>
      <c r="C78" s="190">
        <v>67</v>
      </c>
      <c r="D78" s="85"/>
      <c r="E78" s="85"/>
      <c r="F78" s="107" t="str">
        <f t="shared" ref="F78:F140" si="1">IF(D78&gt;0,IF(E78/D78&gt;=100,"&gt;&gt;100",E78/D78*100),"-")</f>
        <v>-</v>
      </c>
    </row>
    <row r="79" spans="1:6" s="2" customFormat="1" x14ac:dyDescent="0.2">
      <c r="A79" s="111" t="s">
        <v>1366</v>
      </c>
      <c r="B79" s="93" t="s">
        <v>1883</v>
      </c>
      <c r="C79" s="190">
        <v>68</v>
      </c>
      <c r="D79" s="85"/>
      <c r="E79" s="85"/>
      <c r="F79" s="107" t="str">
        <f t="shared" si="1"/>
        <v>-</v>
      </c>
    </row>
    <row r="80" spans="1:6" s="2" customFormat="1" x14ac:dyDescent="0.2">
      <c r="A80" s="111" t="s">
        <v>1884</v>
      </c>
      <c r="B80" s="93" t="s">
        <v>1581</v>
      </c>
      <c r="C80" s="190">
        <v>69</v>
      </c>
      <c r="D80" s="85"/>
      <c r="E80" s="85"/>
      <c r="F80" s="107" t="str">
        <f t="shared" si="1"/>
        <v>-</v>
      </c>
    </row>
    <row r="81" spans="1:6" s="2" customFormat="1" x14ac:dyDescent="0.2">
      <c r="A81" s="111" t="s">
        <v>3716</v>
      </c>
      <c r="B81" s="93" t="s">
        <v>1582</v>
      </c>
      <c r="C81" s="190">
        <v>70</v>
      </c>
      <c r="D81" s="85"/>
      <c r="E81" s="85"/>
      <c r="F81" s="107" t="str">
        <f t="shared" si="1"/>
        <v>-</v>
      </c>
    </row>
    <row r="82" spans="1:6" s="2" customFormat="1" x14ac:dyDescent="0.2">
      <c r="A82" s="111" t="s">
        <v>4146</v>
      </c>
      <c r="B82" s="93" t="s">
        <v>3612</v>
      </c>
      <c r="C82" s="190">
        <v>71</v>
      </c>
      <c r="D82" s="88">
        <f>SUM(D83:D88)</f>
        <v>0</v>
      </c>
      <c r="E82" s="88">
        <f>SUM(E83:E88)</f>
        <v>0</v>
      </c>
      <c r="F82" s="107" t="str">
        <f t="shared" si="1"/>
        <v>-</v>
      </c>
    </row>
    <row r="83" spans="1:6" s="2" customFormat="1" x14ac:dyDescent="0.2">
      <c r="A83" s="111" t="s">
        <v>4147</v>
      </c>
      <c r="B83" s="93" t="s">
        <v>1583</v>
      </c>
      <c r="C83" s="190">
        <v>72</v>
      </c>
      <c r="D83" s="85"/>
      <c r="E83" s="85"/>
      <c r="F83" s="107" t="str">
        <f t="shared" si="1"/>
        <v>-</v>
      </c>
    </row>
    <row r="84" spans="1:6" s="2" customFormat="1" x14ac:dyDescent="0.2">
      <c r="A84" s="111" t="s">
        <v>4149</v>
      </c>
      <c r="B84" s="93" t="s">
        <v>1584</v>
      </c>
      <c r="C84" s="190">
        <v>73</v>
      </c>
      <c r="D84" s="85"/>
      <c r="E84" s="85"/>
      <c r="F84" s="107" t="str">
        <f t="shared" si="1"/>
        <v>-</v>
      </c>
    </row>
    <row r="85" spans="1:6" s="2" customFormat="1" x14ac:dyDescent="0.2">
      <c r="A85" s="111" t="s">
        <v>3469</v>
      </c>
      <c r="B85" s="93" t="s">
        <v>1585</v>
      </c>
      <c r="C85" s="190">
        <v>74</v>
      </c>
      <c r="D85" s="85"/>
      <c r="E85" s="85"/>
      <c r="F85" s="107" t="str">
        <f t="shared" si="1"/>
        <v>-</v>
      </c>
    </row>
    <row r="86" spans="1:6" s="2" customFormat="1" x14ac:dyDescent="0.2">
      <c r="A86" s="111" t="s">
        <v>1985</v>
      </c>
      <c r="B86" s="93" t="s">
        <v>1586</v>
      </c>
      <c r="C86" s="190">
        <v>75</v>
      </c>
      <c r="D86" s="85"/>
      <c r="E86" s="85"/>
      <c r="F86" s="107" t="str">
        <f t="shared" si="1"/>
        <v>-</v>
      </c>
    </row>
    <row r="87" spans="1:6" s="2" customFormat="1" x14ac:dyDescent="0.2">
      <c r="A87" s="111" t="s">
        <v>3741</v>
      </c>
      <c r="B87" s="93" t="s">
        <v>1219</v>
      </c>
      <c r="C87" s="190">
        <v>76</v>
      </c>
      <c r="D87" s="85"/>
      <c r="E87" s="85"/>
      <c r="F87" s="107" t="str">
        <f t="shared" si="1"/>
        <v>-</v>
      </c>
    </row>
    <row r="88" spans="1:6" s="2" customFormat="1" x14ac:dyDescent="0.2">
      <c r="A88" s="111" t="s">
        <v>1718</v>
      </c>
      <c r="B88" s="93" t="s">
        <v>1220</v>
      </c>
      <c r="C88" s="190">
        <v>77</v>
      </c>
      <c r="D88" s="85"/>
      <c r="E88" s="85"/>
      <c r="F88" s="107" t="str">
        <f t="shared" si="1"/>
        <v>-</v>
      </c>
    </row>
    <row r="89" spans="1:6" s="2" customFormat="1" x14ac:dyDescent="0.2">
      <c r="A89" s="111" t="s">
        <v>1719</v>
      </c>
      <c r="B89" s="93" t="s">
        <v>3611</v>
      </c>
      <c r="C89" s="190">
        <v>78</v>
      </c>
      <c r="D89" s="88">
        <f>SUM(D90:D95)</f>
        <v>0</v>
      </c>
      <c r="E89" s="88">
        <f>SUM(E90:E95)</f>
        <v>0</v>
      </c>
      <c r="F89" s="107" t="str">
        <f t="shared" si="1"/>
        <v>-</v>
      </c>
    </row>
    <row r="90" spans="1:6" s="2" customFormat="1" x14ac:dyDescent="0.2">
      <c r="A90" s="111" t="s">
        <v>1720</v>
      </c>
      <c r="B90" s="93" t="s">
        <v>1221</v>
      </c>
      <c r="C90" s="190">
        <v>79</v>
      </c>
      <c r="D90" s="85"/>
      <c r="E90" s="85"/>
      <c r="F90" s="107" t="str">
        <f t="shared" si="1"/>
        <v>-</v>
      </c>
    </row>
    <row r="91" spans="1:6" s="2" customFormat="1" x14ac:dyDescent="0.2">
      <c r="A91" s="111" t="s">
        <v>1722</v>
      </c>
      <c r="B91" s="93" t="s">
        <v>1222</v>
      </c>
      <c r="C91" s="190">
        <v>80</v>
      </c>
      <c r="D91" s="85"/>
      <c r="E91" s="85"/>
      <c r="F91" s="107" t="str">
        <f t="shared" si="1"/>
        <v>-</v>
      </c>
    </row>
    <row r="92" spans="1:6" s="2" customFormat="1" x14ac:dyDescent="0.2">
      <c r="A92" s="111" t="s">
        <v>1825</v>
      </c>
      <c r="B92" s="93" t="s">
        <v>1826</v>
      </c>
      <c r="C92" s="190">
        <v>81</v>
      </c>
      <c r="D92" s="85"/>
      <c r="E92" s="85"/>
      <c r="F92" s="107" t="str">
        <f t="shared" si="1"/>
        <v>-</v>
      </c>
    </row>
    <row r="93" spans="1:6" s="2" customFormat="1" x14ac:dyDescent="0.2">
      <c r="A93" s="111" t="s">
        <v>1724</v>
      </c>
      <c r="B93" s="93" t="s">
        <v>1827</v>
      </c>
      <c r="C93" s="190">
        <v>82</v>
      </c>
      <c r="D93" s="85"/>
      <c r="E93" s="85"/>
      <c r="F93" s="107" t="str">
        <f t="shared" si="1"/>
        <v>-</v>
      </c>
    </row>
    <row r="94" spans="1:6" s="2" customFormat="1" x14ac:dyDescent="0.2">
      <c r="A94" s="111" t="s">
        <v>1828</v>
      </c>
      <c r="B94" s="93" t="s">
        <v>1829</v>
      </c>
      <c r="C94" s="190">
        <v>83</v>
      </c>
      <c r="D94" s="85"/>
      <c r="E94" s="85"/>
      <c r="F94" s="107" t="str">
        <f t="shared" si="1"/>
        <v>-</v>
      </c>
    </row>
    <row r="95" spans="1:6" s="2" customFormat="1" x14ac:dyDescent="0.2">
      <c r="A95" s="111" t="s">
        <v>1830</v>
      </c>
      <c r="B95" s="93" t="s">
        <v>3569</v>
      </c>
      <c r="C95" s="190">
        <v>84</v>
      </c>
      <c r="D95" s="85"/>
      <c r="E95" s="85"/>
      <c r="F95" s="107" t="str">
        <f t="shared" si="1"/>
        <v>-</v>
      </c>
    </row>
    <row r="96" spans="1:6" s="2" customFormat="1" x14ac:dyDescent="0.2">
      <c r="A96" s="111" t="s">
        <v>3570</v>
      </c>
      <c r="B96" s="93" t="s">
        <v>2404</v>
      </c>
      <c r="C96" s="190">
        <v>85</v>
      </c>
      <c r="D96" s="88">
        <f>D97+D101+D106+D111+D112+D113</f>
        <v>0</v>
      </c>
      <c r="E96" s="88">
        <f>E97+E101+E106+E111+E112+E113</f>
        <v>0</v>
      </c>
      <c r="F96" s="107" t="str">
        <f t="shared" si="1"/>
        <v>-</v>
      </c>
    </row>
    <row r="97" spans="1:6" s="2" customFormat="1" x14ac:dyDescent="0.2">
      <c r="A97" s="111" t="s">
        <v>3571</v>
      </c>
      <c r="B97" s="93" t="s">
        <v>851</v>
      </c>
      <c r="C97" s="190">
        <v>86</v>
      </c>
      <c r="D97" s="88">
        <f>SUM(D98:D100)</f>
        <v>0</v>
      </c>
      <c r="E97" s="88">
        <f>SUM(E98:E100)</f>
        <v>0</v>
      </c>
      <c r="F97" s="107" t="str">
        <f t="shared" si="1"/>
        <v>-</v>
      </c>
    </row>
    <row r="98" spans="1:6" s="2" customFormat="1" x14ac:dyDescent="0.2">
      <c r="A98" s="111" t="s">
        <v>3572</v>
      </c>
      <c r="B98" s="93" t="s">
        <v>458</v>
      </c>
      <c r="C98" s="190">
        <v>87</v>
      </c>
      <c r="D98" s="85"/>
      <c r="E98" s="85"/>
      <c r="F98" s="107" t="str">
        <f t="shared" si="1"/>
        <v>-</v>
      </c>
    </row>
    <row r="99" spans="1:6" s="2" customFormat="1" x14ac:dyDescent="0.2">
      <c r="A99" s="111" t="s">
        <v>459</v>
      </c>
      <c r="B99" s="93" t="s">
        <v>460</v>
      </c>
      <c r="C99" s="190">
        <v>88</v>
      </c>
      <c r="D99" s="85"/>
      <c r="E99" s="85"/>
      <c r="F99" s="107" t="str">
        <f t="shared" si="1"/>
        <v>-</v>
      </c>
    </row>
    <row r="100" spans="1:6" s="2" customFormat="1" x14ac:dyDescent="0.2">
      <c r="A100" s="111" t="s">
        <v>461</v>
      </c>
      <c r="B100" s="93" t="s">
        <v>462</v>
      </c>
      <c r="C100" s="190">
        <v>89</v>
      </c>
      <c r="D100" s="85"/>
      <c r="E100" s="85"/>
      <c r="F100" s="107" t="str">
        <f t="shared" si="1"/>
        <v>-</v>
      </c>
    </row>
    <row r="101" spans="1:6" s="2" customFormat="1" x14ac:dyDescent="0.2">
      <c r="A101" s="111" t="s">
        <v>463</v>
      </c>
      <c r="B101" s="93" t="s">
        <v>852</v>
      </c>
      <c r="C101" s="190">
        <v>90</v>
      </c>
      <c r="D101" s="88">
        <f>SUM(D102:D105)</f>
        <v>0</v>
      </c>
      <c r="E101" s="88">
        <f>SUM(E102:E105)</f>
        <v>0</v>
      </c>
      <c r="F101" s="107" t="str">
        <f t="shared" si="1"/>
        <v>-</v>
      </c>
    </row>
    <row r="102" spans="1:6" s="2" customFormat="1" x14ac:dyDescent="0.2">
      <c r="A102" s="111" t="s">
        <v>464</v>
      </c>
      <c r="B102" s="93" t="s">
        <v>465</v>
      </c>
      <c r="C102" s="190">
        <v>91</v>
      </c>
      <c r="D102" s="85"/>
      <c r="E102" s="85"/>
      <c r="F102" s="107" t="str">
        <f t="shared" si="1"/>
        <v>-</v>
      </c>
    </row>
    <row r="103" spans="1:6" s="2" customFormat="1" x14ac:dyDescent="0.2">
      <c r="A103" s="111" t="s">
        <v>466</v>
      </c>
      <c r="B103" s="93" t="s">
        <v>467</v>
      </c>
      <c r="C103" s="190">
        <v>92</v>
      </c>
      <c r="D103" s="85"/>
      <c r="E103" s="85"/>
      <c r="F103" s="107" t="str">
        <f t="shared" si="1"/>
        <v>-</v>
      </c>
    </row>
    <row r="104" spans="1:6" s="2" customFormat="1" x14ac:dyDescent="0.2">
      <c r="A104" s="111" t="s">
        <v>468</v>
      </c>
      <c r="B104" s="93" t="s">
        <v>469</v>
      </c>
      <c r="C104" s="190">
        <v>93</v>
      </c>
      <c r="D104" s="85"/>
      <c r="E104" s="85"/>
      <c r="F104" s="107" t="str">
        <f t="shared" si="1"/>
        <v>-</v>
      </c>
    </row>
    <row r="105" spans="1:6" s="2" customFormat="1" x14ac:dyDescent="0.2">
      <c r="A105" s="111" t="s">
        <v>470</v>
      </c>
      <c r="B105" s="93" t="s">
        <v>471</v>
      </c>
      <c r="C105" s="190">
        <v>94</v>
      </c>
      <c r="D105" s="85"/>
      <c r="E105" s="85"/>
      <c r="F105" s="107" t="str">
        <f t="shared" si="1"/>
        <v>-</v>
      </c>
    </row>
    <row r="106" spans="1:6" s="2" customFormat="1" x14ac:dyDescent="0.2">
      <c r="A106" s="111" t="s">
        <v>472</v>
      </c>
      <c r="B106" s="93" t="s">
        <v>853</v>
      </c>
      <c r="C106" s="190">
        <v>95</v>
      </c>
      <c r="D106" s="88">
        <f>SUM(D107:D110)</f>
        <v>0</v>
      </c>
      <c r="E106" s="88">
        <f>SUM(E107:E110)</f>
        <v>0</v>
      </c>
      <c r="F106" s="107" t="str">
        <f t="shared" si="1"/>
        <v>-</v>
      </c>
    </row>
    <row r="107" spans="1:6" s="2" customFormat="1" x14ac:dyDescent="0.2">
      <c r="A107" s="111" t="s">
        <v>473</v>
      </c>
      <c r="B107" s="93" t="s">
        <v>474</v>
      </c>
      <c r="C107" s="190">
        <v>96</v>
      </c>
      <c r="D107" s="85"/>
      <c r="E107" s="85"/>
      <c r="F107" s="107" t="str">
        <f t="shared" si="1"/>
        <v>-</v>
      </c>
    </row>
    <row r="108" spans="1:6" s="2" customFormat="1" x14ac:dyDescent="0.2">
      <c r="A108" s="111" t="s">
        <v>475</v>
      </c>
      <c r="B108" s="93" t="s">
        <v>476</v>
      </c>
      <c r="C108" s="190">
        <v>97</v>
      </c>
      <c r="D108" s="85"/>
      <c r="E108" s="85"/>
      <c r="F108" s="107" t="str">
        <f t="shared" si="1"/>
        <v>-</v>
      </c>
    </row>
    <row r="109" spans="1:6" s="2" customFormat="1" x14ac:dyDescent="0.2">
      <c r="A109" s="111" t="s">
        <v>477</v>
      </c>
      <c r="B109" s="93" t="s">
        <v>1469</v>
      </c>
      <c r="C109" s="190">
        <v>98</v>
      </c>
      <c r="D109" s="85"/>
      <c r="E109" s="85"/>
      <c r="F109" s="107" t="str">
        <f t="shared" si="1"/>
        <v>-</v>
      </c>
    </row>
    <row r="110" spans="1:6" s="2" customFormat="1" x14ac:dyDescent="0.2">
      <c r="A110" s="111" t="s">
        <v>1470</v>
      </c>
      <c r="B110" s="93" t="s">
        <v>1471</v>
      </c>
      <c r="C110" s="190">
        <v>99</v>
      </c>
      <c r="D110" s="85"/>
      <c r="E110" s="85"/>
      <c r="F110" s="107" t="str">
        <f t="shared" si="1"/>
        <v>-</v>
      </c>
    </row>
    <row r="111" spans="1:6" s="2" customFormat="1" x14ac:dyDescent="0.2">
      <c r="A111" s="111" t="s">
        <v>3332</v>
      </c>
      <c r="B111" s="93" t="s">
        <v>2641</v>
      </c>
      <c r="C111" s="190">
        <v>100</v>
      </c>
      <c r="D111" s="85"/>
      <c r="E111" s="85"/>
      <c r="F111" s="107" t="str">
        <f t="shared" si="1"/>
        <v>-</v>
      </c>
    </row>
    <row r="112" spans="1:6" s="2" customFormat="1" x14ac:dyDescent="0.2">
      <c r="A112" s="111" t="s">
        <v>2642</v>
      </c>
      <c r="B112" s="93" t="s">
        <v>445</v>
      </c>
      <c r="C112" s="190">
        <v>101</v>
      </c>
      <c r="D112" s="85"/>
      <c r="E112" s="85"/>
      <c r="F112" s="107" t="str">
        <f t="shared" si="1"/>
        <v>-</v>
      </c>
    </row>
    <row r="113" spans="1:6" s="2" customFormat="1" x14ac:dyDescent="0.2">
      <c r="A113" s="111" t="s">
        <v>446</v>
      </c>
      <c r="B113" s="93" t="s">
        <v>447</v>
      </c>
      <c r="C113" s="190">
        <v>102</v>
      </c>
      <c r="D113" s="85"/>
      <c r="E113" s="85"/>
      <c r="F113" s="107" t="str">
        <f t="shared" si="1"/>
        <v>-</v>
      </c>
    </row>
    <row r="114" spans="1:6" s="2" customFormat="1" x14ac:dyDescent="0.2">
      <c r="A114" s="111" t="s">
        <v>448</v>
      </c>
      <c r="B114" s="93" t="s">
        <v>854</v>
      </c>
      <c r="C114" s="190">
        <v>103</v>
      </c>
      <c r="D114" s="88">
        <f>SUM(D115:D120)</f>
        <v>0</v>
      </c>
      <c r="E114" s="88">
        <f>SUM(E115:E120)</f>
        <v>0</v>
      </c>
      <c r="F114" s="107" t="str">
        <f t="shared" si="1"/>
        <v>-</v>
      </c>
    </row>
    <row r="115" spans="1:6" s="2" customFormat="1" x14ac:dyDescent="0.2">
      <c r="A115" s="111" t="s">
        <v>4209</v>
      </c>
      <c r="B115" s="93" t="s">
        <v>4210</v>
      </c>
      <c r="C115" s="190">
        <v>104</v>
      </c>
      <c r="D115" s="85"/>
      <c r="E115" s="85"/>
      <c r="F115" s="107" t="str">
        <f t="shared" si="1"/>
        <v>-</v>
      </c>
    </row>
    <row r="116" spans="1:6" s="2" customFormat="1" x14ac:dyDescent="0.2">
      <c r="A116" s="111" t="s">
        <v>4211</v>
      </c>
      <c r="B116" s="93" t="s">
        <v>4212</v>
      </c>
      <c r="C116" s="190">
        <v>105</v>
      </c>
      <c r="D116" s="85"/>
      <c r="E116" s="85"/>
      <c r="F116" s="107" t="str">
        <f t="shared" si="1"/>
        <v>-</v>
      </c>
    </row>
    <row r="117" spans="1:6" s="2" customFormat="1" x14ac:dyDescent="0.2">
      <c r="A117" s="111" t="s">
        <v>3547</v>
      </c>
      <c r="B117" s="93" t="s">
        <v>3548</v>
      </c>
      <c r="C117" s="190">
        <v>106</v>
      </c>
      <c r="D117" s="85"/>
      <c r="E117" s="85"/>
      <c r="F117" s="107" t="str">
        <f t="shared" si="1"/>
        <v>-</v>
      </c>
    </row>
    <row r="118" spans="1:6" s="2" customFormat="1" x14ac:dyDescent="0.2">
      <c r="A118" s="111" t="s">
        <v>3549</v>
      </c>
      <c r="B118" s="93" t="s">
        <v>1522</v>
      </c>
      <c r="C118" s="190">
        <v>107</v>
      </c>
      <c r="D118" s="85"/>
      <c r="E118" s="85"/>
      <c r="F118" s="107" t="str">
        <f t="shared" si="1"/>
        <v>-</v>
      </c>
    </row>
    <row r="119" spans="1:6" s="2" customFormat="1" x14ac:dyDescent="0.2">
      <c r="A119" s="111" t="s">
        <v>1523</v>
      </c>
      <c r="B119" s="93" t="s">
        <v>1524</v>
      </c>
      <c r="C119" s="190">
        <v>108</v>
      </c>
      <c r="D119" s="85"/>
      <c r="E119" s="85"/>
      <c r="F119" s="107" t="str">
        <f t="shared" si="1"/>
        <v>-</v>
      </c>
    </row>
    <row r="120" spans="1:6" s="2" customFormat="1" x14ac:dyDescent="0.2">
      <c r="A120" s="111" t="s">
        <v>1525</v>
      </c>
      <c r="B120" s="93" t="s">
        <v>1526</v>
      </c>
      <c r="C120" s="190">
        <v>109</v>
      </c>
      <c r="D120" s="85"/>
      <c r="E120" s="85"/>
      <c r="F120" s="107" t="str">
        <f t="shared" si="1"/>
        <v>-</v>
      </c>
    </row>
    <row r="121" spans="1:6" s="2" customFormat="1" x14ac:dyDescent="0.2">
      <c r="A121" s="111" t="s">
        <v>1527</v>
      </c>
      <c r="B121" s="93" t="s">
        <v>2405</v>
      </c>
      <c r="C121" s="190">
        <v>110</v>
      </c>
      <c r="D121" s="88">
        <f>D122+D125+D128+D129+SUM(D132:D135)</f>
        <v>0</v>
      </c>
      <c r="E121" s="88">
        <f>E122+E125+E128+E129+SUM(E132:E135)</f>
        <v>0</v>
      </c>
      <c r="F121" s="107" t="str">
        <f t="shared" si="1"/>
        <v>-</v>
      </c>
    </row>
    <row r="122" spans="1:6" s="2" customFormat="1" x14ac:dyDescent="0.2">
      <c r="A122" s="111" t="s">
        <v>1528</v>
      </c>
      <c r="B122" s="93" t="s">
        <v>2406</v>
      </c>
      <c r="C122" s="190">
        <v>111</v>
      </c>
      <c r="D122" s="88">
        <f>SUM(D123:D124)</f>
        <v>0</v>
      </c>
      <c r="E122" s="88">
        <f>SUM(E123:E124)</f>
        <v>0</v>
      </c>
      <c r="F122" s="107" t="str">
        <f t="shared" si="1"/>
        <v>-</v>
      </c>
    </row>
    <row r="123" spans="1:6" s="2" customFormat="1" x14ac:dyDescent="0.2">
      <c r="A123" s="111" t="s">
        <v>1529</v>
      </c>
      <c r="B123" s="93" t="s">
        <v>1641</v>
      </c>
      <c r="C123" s="190">
        <v>112</v>
      </c>
      <c r="D123" s="85"/>
      <c r="E123" s="85"/>
      <c r="F123" s="107" t="str">
        <f t="shared" si="1"/>
        <v>-</v>
      </c>
    </row>
    <row r="124" spans="1:6" s="2" customFormat="1" x14ac:dyDescent="0.2">
      <c r="A124" s="111" t="s">
        <v>1530</v>
      </c>
      <c r="B124" s="93" t="s">
        <v>1642</v>
      </c>
      <c r="C124" s="190">
        <v>113</v>
      </c>
      <c r="D124" s="85"/>
      <c r="E124" s="85"/>
      <c r="F124" s="107" t="str">
        <f t="shared" si="1"/>
        <v>-</v>
      </c>
    </row>
    <row r="125" spans="1:6" s="2" customFormat="1" x14ac:dyDescent="0.2">
      <c r="A125" s="111" t="s">
        <v>1531</v>
      </c>
      <c r="B125" s="93" t="s">
        <v>2407</v>
      </c>
      <c r="C125" s="190">
        <v>114</v>
      </c>
      <c r="D125" s="88">
        <f>SUM(D126:D127)</f>
        <v>0</v>
      </c>
      <c r="E125" s="88">
        <f>SUM(E126:E127)</f>
        <v>0</v>
      </c>
      <c r="F125" s="107" t="str">
        <f t="shared" si="1"/>
        <v>-</v>
      </c>
    </row>
    <row r="126" spans="1:6" s="2" customFormat="1" x14ac:dyDescent="0.2">
      <c r="A126" s="111" t="s">
        <v>1532</v>
      </c>
      <c r="B126" s="93" t="s">
        <v>1533</v>
      </c>
      <c r="C126" s="190">
        <v>115</v>
      </c>
      <c r="D126" s="85"/>
      <c r="E126" s="85"/>
      <c r="F126" s="107" t="str">
        <f t="shared" si="1"/>
        <v>-</v>
      </c>
    </row>
    <row r="127" spans="1:6" s="2" customFormat="1" x14ac:dyDescent="0.2">
      <c r="A127" s="111" t="s">
        <v>1534</v>
      </c>
      <c r="B127" s="93" t="s">
        <v>478</v>
      </c>
      <c r="C127" s="190">
        <v>116</v>
      </c>
      <c r="D127" s="85"/>
      <c r="E127" s="85"/>
      <c r="F127" s="107" t="str">
        <f t="shared" si="1"/>
        <v>-</v>
      </c>
    </row>
    <row r="128" spans="1:6" s="2" customFormat="1" x14ac:dyDescent="0.2">
      <c r="A128" s="111" t="s">
        <v>479</v>
      </c>
      <c r="B128" s="93" t="s">
        <v>480</v>
      </c>
      <c r="C128" s="190">
        <v>117</v>
      </c>
      <c r="D128" s="85"/>
      <c r="E128" s="85"/>
      <c r="F128" s="107" t="str">
        <f t="shared" si="1"/>
        <v>-</v>
      </c>
    </row>
    <row r="129" spans="1:6" s="2" customFormat="1" x14ac:dyDescent="0.2">
      <c r="A129" s="111" t="s">
        <v>481</v>
      </c>
      <c r="B129" s="93" t="s">
        <v>2408</v>
      </c>
      <c r="C129" s="190">
        <v>118</v>
      </c>
      <c r="D129" s="88">
        <f>SUM(D130:D131)</f>
        <v>0</v>
      </c>
      <c r="E129" s="88">
        <f>SUM(E130:E131)</f>
        <v>0</v>
      </c>
      <c r="F129" s="107" t="str">
        <f t="shared" si="1"/>
        <v>-</v>
      </c>
    </row>
    <row r="130" spans="1:6" s="2" customFormat="1" x14ac:dyDescent="0.2">
      <c r="A130" s="111" t="s">
        <v>3221</v>
      </c>
      <c r="B130" s="93" t="s">
        <v>1847</v>
      </c>
      <c r="C130" s="190">
        <v>119</v>
      </c>
      <c r="D130" s="85"/>
      <c r="E130" s="85"/>
      <c r="F130" s="107" t="str">
        <f t="shared" si="1"/>
        <v>-</v>
      </c>
    </row>
    <row r="131" spans="1:6" s="2" customFormat="1" x14ac:dyDescent="0.2">
      <c r="A131" s="111" t="s">
        <v>700</v>
      </c>
      <c r="B131" s="93" t="s">
        <v>701</v>
      </c>
      <c r="C131" s="190">
        <v>120</v>
      </c>
      <c r="D131" s="85"/>
      <c r="E131" s="85"/>
      <c r="F131" s="107" t="str">
        <f t="shared" si="1"/>
        <v>-</v>
      </c>
    </row>
    <row r="132" spans="1:6" s="2" customFormat="1" x14ac:dyDescent="0.2">
      <c r="A132" s="111" t="s">
        <v>702</v>
      </c>
      <c r="B132" s="93" t="s">
        <v>703</v>
      </c>
      <c r="C132" s="190">
        <v>121</v>
      </c>
      <c r="D132" s="85"/>
      <c r="E132" s="85"/>
      <c r="F132" s="107" t="str">
        <f t="shared" si="1"/>
        <v>-</v>
      </c>
    </row>
    <row r="133" spans="1:6" s="2" customFormat="1" x14ac:dyDescent="0.2">
      <c r="A133" s="111" t="s">
        <v>704</v>
      </c>
      <c r="B133" s="93" t="s">
        <v>705</v>
      </c>
      <c r="C133" s="190">
        <v>122</v>
      </c>
      <c r="D133" s="85"/>
      <c r="E133" s="85"/>
      <c r="F133" s="107" t="str">
        <f t="shared" si="1"/>
        <v>-</v>
      </c>
    </row>
    <row r="134" spans="1:6" s="2" customFormat="1" x14ac:dyDescent="0.2">
      <c r="A134" s="111" t="s">
        <v>706</v>
      </c>
      <c r="B134" s="93" t="s">
        <v>707</v>
      </c>
      <c r="C134" s="190">
        <v>123</v>
      </c>
      <c r="D134" s="85"/>
      <c r="E134" s="85"/>
      <c r="F134" s="107" t="str">
        <f t="shared" si="1"/>
        <v>-</v>
      </c>
    </row>
    <row r="135" spans="1:6" s="2" customFormat="1" x14ac:dyDescent="0.2">
      <c r="A135" s="111" t="s">
        <v>708</v>
      </c>
      <c r="B135" s="93" t="s">
        <v>709</v>
      </c>
      <c r="C135" s="190">
        <v>124</v>
      </c>
      <c r="D135" s="85"/>
      <c r="E135" s="85"/>
      <c r="F135" s="107" t="str">
        <f t="shared" si="1"/>
        <v>-</v>
      </c>
    </row>
    <row r="136" spans="1:6" s="2" customFormat="1" x14ac:dyDescent="0.2">
      <c r="A136" s="111" t="s">
        <v>710</v>
      </c>
      <c r="B136" s="93" t="s">
        <v>3428</v>
      </c>
      <c r="C136" s="190">
        <v>125</v>
      </c>
      <c r="D136" s="88">
        <f>D137+D140+SUM(D141:D147)</f>
        <v>0</v>
      </c>
      <c r="E136" s="88">
        <f>E137+E140+SUM(E141:E147)</f>
        <v>0</v>
      </c>
      <c r="F136" s="107" t="str">
        <f t="shared" si="1"/>
        <v>-</v>
      </c>
    </row>
    <row r="137" spans="1:6" s="2" customFormat="1" x14ac:dyDescent="0.2">
      <c r="A137" s="111" t="s">
        <v>711</v>
      </c>
      <c r="B137" s="93" t="s">
        <v>3199</v>
      </c>
      <c r="C137" s="190">
        <v>126</v>
      </c>
      <c r="D137" s="88">
        <f>SUM(D138:D139)</f>
        <v>0</v>
      </c>
      <c r="E137" s="88">
        <f>SUM(E138:E139)</f>
        <v>0</v>
      </c>
      <c r="F137" s="107" t="str">
        <f t="shared" si="1"/>
        <v>-</v>
      </c>
    </row>
    <row r="138" spans="1:6" s="2" customFormat="1" x14ac:dyDescent="0.2">
      <c r="A138" s="111" t="s">
        <v>3200</v>
      </c>
      <c r="B138" s="93" t="s">
        <v>3201</v>
      </c>
      <c r="C138" s="190">
        <v>127</v>
      </c>
      <c r="D138" s="85"/>
      <c r="E138" s="85"/>
      <c r="F138" s="107" t="str">
        <f t="shared" si="1"/>
        <v>-</v>
      </c>
    </row>
    <row r="139" spans="1:6" s="2" customFormat="1" x14ac:dyDescent="0.2">
      <c r="A139" s="111" t="s">
        <v>3202</v>
      </c>
      <c r="B139" s="93" t="s">
        <v>3203</v>
      </c>
      <c r="C139" s="190">
        <v>128</v>
      </c>
      <c r="D139" s="85"/>
      <c r="E139" s="85"/>
      <c r="F139" s="107" t="str">
        <f t="shared" si="1"/>
        <v>-</v>
      </c>
    </row>
    <row r="140" spans="1:6" s="2" customFormat="1" x14ac:dyDescent="0.2">
      <c r="A140" s="111" t="s">
        <v>3204</v>
      </c>
      <c r="B140" s="93" t="s">
        <v>3205</v>
      </c>
      <c r="C140" s="190">
        <v>129</v>
      </c>
      <c r="D140" s="85"/>
      <c r="E140" s="85"/>
      <c r="F140" s="107" t="str">
        <f t="shared" si="1"/>
        <v>-</v>
      </c>
    </row>
    <row r="141" spans="1:6" s="2" customFormat="1" x14ac:dyDescent="0.2">
      <c r="A141" s="111" t="s">
        <v>3206</v>
      </c>
      <c r="B141" s="93" t="s">
        <v>3411</v>
      </c>
      <c r="C141" s="190">
        <v>130</v>
      </c>
      <c r="D141" s="85"/>
      <c r="E141" s="85"/>
      <c r="F141" s="107" t="str">
        <f>IF(D141&gt;0,IF(E141/D141&gt;=100,"&gt;&gt;100",E141/D141*100),"-")</f>
        <v>-</v>
      </c>
    </row>
    <row r="142" spans="1:6" s="2" customFormat="1" x14ac:dyDescent="0.2">
      <c r="A142" s="111" t="s">
        <v>3207</v>
      </c>
      <c r="B142" s="93" t="s">
        <v>3208</v>
      </c>
      <c r="C142" s="190">
        <v>131</v>
      </c>
      <c r="D142" s="85"/>
      <c r="E142" s="85"/>
      <c r="F142" s="107" t="str">
        <f t="shared" ref="F142:F148" si="2">IF(D142&gt;0,IF(E142/D142&gt;=100,"&gt;&gt;100",E142/D142*100),"-")</f>
        <v>-</v>
      </c>
    </row>
    <row r="143" spans="1:6" s="2" customFormat="1" x14ac:dyDescent="0.2">
      <c r="A143" s="111" t="s">
        <v>3209</v>
      </c>
      <c r="B143" s="93" t="s">
        <v>3210</v>
      </c>
      <c r="C143" s="190">
        <v>132</v>
      </c>
      <c r="D143" s="85"/>
      <c r="E143" s="85"/>
      <c r="F143" s="107" t="str">
        <f t="shared" si="2"/>
        <v>-</v>
      </c>
    </row>
    <row r="144" spans="1:6" s="2" customFormat="1" x14ac:dyDescent="0.2">
      <c r="A144" s="111" t="s">
        <v>3211</v>
      </c>
      <c r="B144" s="93" t="s">
        <v>3212</v>
      </c>
      <c r="C144" s="190">
        <v>133</v>
      </c>
      <c r="D144" s="85"/>
      <c r="E144" s="85"/>
      <c r="F144" s="107" t="str">
        <f t="shared" si="2"/>
        <v>-</v>
      </c>
    </row>
    <row r="145" spans="1:7" s="2" customFormat="1" x14ac:dyDescent="0.2">
      <c r="A145" s="111" t="s">
        <v>3213</v>
      </c>
      <c r="B145" s="92" t="s">
        <v>3214</v>
      </c>
      <c r="C145" s="190">
        <v>134</v>
      </c>
      <c r="D145" s="85"/>
      <c r="E145" s="85"/>
      <c r="F145" s="107" t="str">
        <f t="shared" si="2"/>
        <v>-</v>
      </c>
    </row>
    <row r="146" spans="1:7" s="2" customFormat="1" x14ac:dyDescent="0.2">
      <c r="A146" s="111" t="s">
        <v>3215</v>
      </c>
      <c r="B146" s="93" t="s">
        <v>315</v>
      </c>
      <c r="C146" s="190">
        <v>135</v>
      </c>
      <c r="D146" s="85"/>
      <c r="E146" s="85"/>
      <c r="F146" s="107" t="str">
        <f t="shared" si="2"/>
        <v>-</v>
      </c>
    </row>
    <row r="147" spans="1:7" s="2" customFormat="1" x14ac:dyDescent="0.2">
      <c r="A147" s="111" t="s">
        <v>848</v>
      </c>
      <c r="B147" s="93" t="s">
        <v>1790</v>
      </c>
      <c r="C147" s="190">
        <v>136</v>
      </c>
      <c r="D147" s="85"/>
      <c r="E147" s="85"/>
      <c r="F147" s="107" t="str">
        <f t="shared" si="2"/>
        <v>-</v>
      </c>
    </row>
    <row r="148" spans="1:7" s="2" customFormat="1" x14ac:dyDescent="0.2">
      <c r="A148" s="198"/>
      <c r="B148" s="94" t="s">
        <v>1106</v>
      </c>
      <c r="C148" s="193">
        <v>137</v>
      </c>
      <c r="D148" s="95">
        <f>D12+D29+D35+D42+D82+D89+D96+D114+D121+D136</f>
        <v>0</v>
      </c>
      <c r="E148" s="95">
        <f>E12+E29+E35+E42+E82+E89+E96+E114+E121+E136</f>
        <v>0</v>
      </c>
      <c r="F148" s="108" t="str">
        <f t="shared" si="2"/>
        <v>-</v>
      </c>
    </row>
    <row r="149" spans="1:7" ht="15" customHeight="1" x14ac:dyDescent="0.2"/>
    <row r="150" spans="1:7" s="179" customFormat="1" ht="25.5" customHeight="1" x14ac:dyDescent="0.2">
      <c r="A150" s="178" t="s">
        <v>3427</v>
      </c>
      <c r="B150" s="178"/>
      <c r="D150" s="452" t="s">
        <v>2209</v>
      </c>
      <c r="E150" s="452"/>
      <c r="F150" s="178"/>
      <c r="G150" s="194"/>
    </row>
    <row r="151" spans="1:7" s="179" customFormat="1" ht="15" customHeight="1" x14ac:dyDescent="0.2">
      <c r="A151" s="178" t="str">
        <f>IF(RefStr!H25&lt;&gt;"", "Osoba za kontaktiranje: " &amp; RefStr!H25,"Osoba za kontaktiranje: _________________________________________")</f>
        <v>Osoba za kontaktiranje: Željka Bosorić Baruškin</v>
      </c>
      <c r="B151" s="178"/>
      <c r="D151" s="180"/>
      <c r="E151" s="180"/>
      <c r="F151" s="178"/>
      <c r="G151" s="194"/>
    </row>
    <row r="152" spans="1:7" s="179" customFormat="1" ht="15" customHeight="1" x14ac:dyDescent="0.2">
      <c r="A152" s="178" t="str">
        <f>IF(RefStr!H27="","Telefon za kontakt: _________________","Telefon za kontakt: " &amp; RefStr!H27)</f>
        <v>Telefon za kontakt: 048210007</v>
      </c>
      <c r="B152" s="178"/>
      <c r="E152" s="178"/>
      <c r="F152" s="178"/>
      <c r="G152" s="194"/>
    </row>
    <row r="153" spans="1:7" s="179" customFormat="1" ht="15" customHeight="1" x14ac:dyDescent="0.2">
      <c r="A153" s="178" t="str">
        <f>IF(RefStr!H33="","Odgovorna osoba: _____________________________","Odgovorna osoba: " &amp; RefStr!H33)</f>
        <v>Odgovorna osoba: Vjekoslav Maletić</v>
      </c>
      <c r="B153" s="178"/>
      <c r="C153" s="178"/>
      <c r="F153" s="178"/>
      <c r="G153" s="194"/>
    </row>
    <row r="154" spans="1:7" s="179" customFormat="1" ht="5.0999999999999996" customHeight="1" x14ac:dyDescent="0.2">
      <c r="A154" s="178"/>
      <c r="B154" s="178"/>
      <c r="C154" s="178"/>
      <c r="E154" s="178"/>
      <c r="F154" s="178"/>
      <c r="G154" s="19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38" t="s">
        <v>3609</v>
      </c>
      <c r="B1" s="439"/>
      <c r="C1" s="474" t="s">
        <v>2985</v>
      </c>
      <c r="D1" s="474"/>
      <c r="E1" s="474"/>
    </row>
    <row r="2" spans="1:6" s="173" customFormat="1" ht="48" customHeight="1" thickBot="1" x14ac:dyDescent="0.25">
      <c r="A2" s="471" t="s">
        <v>4012</v>
      </c>
      <c r="B2" s="472"/>
      <c r="C2" s="445"/>
      <c r="D2" s="469" t="s">
        <v>4222</v>
      </c>
      <c r="E2" s="470"/>
    </row>
    <row r="3" spans="1:6" ht="30" customHeight="1" x14ac:dyDescent="0.2">
      <c r="A3" s="473" t="str">
        <f>"za razdoblje "&amp;IF(RefStr!K10="","________________",TEXT(RefStr!K10,"d. mmmm yyyy.")&amp;" do "&amp;IF(RefStr!K12="","______________",TEXT(RefStr!K12,"d. mmmm yyyy.")))</f>
        <v>za razdoblje 1. siječanj 2021. do 30. rujan 2021.</v>
      </c>
      <c r="B3" s="473"/>
      <c r="C3" s="473"/>
    </row>
    <row r="4" spans="1:6" ht="15" customHeight="1" x14ac:dyDescent="0.2">
      <c r="A4" s="32" t="s">
        <v>1094</v>
      </c>
      <c r="B4" s="446" t="str">
        <f>"RKP: "&amp;IF(RefStr!B6&lt;&gt;"",TEXT(INT(VALUE(RefStr!B6)),"00000"),"_____"&amp;",  "&amp;"MB: "&amp;IF(RefStr!B8&lt;&gt;"",TEXT(INT(VALUE(RefStr!B8)),"00000000"),"________")&amp;"  OIB: "&amp;IF(RefStr!K14&lt;&gt;"",RefStr!K14,"___________"))</f>
        <v>RKP: 27861</v>
      </c>
      <c r="C4" s="475"/>
      <c r="D4" s="433">
        <f>SUM(Skriveni!G1436:G1479)</f>
        <v>0</v>
      </c>
      <c r="E4" s="434"/>
    </row>
    <row r="5" spans="1:6" ht="15" customHeight="1" x14ac:dyDescent="0.2">
      <c r="B5" s="446" t="str">
        <f>"Naziv: "&amp;IF(RefStr!B10&lt;&gt;"",RefStr!B10,"_______________________________________")</f>
        <v xml:space="preserve">Naziv: OPĆINA FERDINANDOVAC </v>
      </c>
      <c r="C5" s="475"/>
      <c r="D5" s="435" t="s">
        <v>259</v>
      </c>
      <c r="E5" s="435"/>
    </row>
    <row r="6" spans="1:6" ht="15" customHeight="1" x14ac:dyDescent="0.2">
      <c r="A6" s="20"/>
      <c r="B6" s="448" t="str">
        <f xml:space="preserve"> "Razina: " &amp; RefStr!B16 &amp; ", Razdjel: " &amp; TEXT(INT(VALUE(RefStr!B20)), "000")</f>
        <v>Razina: 22, Razdjel: 000</v>
      </c>
      <c r="C6" s="449"/>
      <c r="D6" s="449"/>
      <c r="E6" s="449"/>
      <c r="F6" s="449"/>
    </row>
    <row r="7" spans="1:6" ht="15" customHeight="1" x14ac:dyDescent="0.2">
      <c r="A7" s="20"/>
      <c r="B7" s="448" t="str">
        <f>"Djelatnost: " &amp; RefStr!B18 &amp; " " &amp; RefStr!C18</f>
        <v>Djelatnost: 8411 Opće djelatnosti javne uprave</v>
      </c>
      <c r="C7" s="449"/>
      <c r="D7" s="449"/>
      <c r="E7" s="449"/>
      <c r="F7" s="449"/>
    </row>
    <row r="8" spans="1:6" ht="12.95" customHeight="1" x14ac:dyDescent="0.2"/>
    <row r="9" spans="1:6" ht="12.95" customHeight="1" x14ac:dyDescent="0.2">
      <c r="A9" s="21"/>
      <c r="C9" s="181"/>
      <c r="D9" s="181"/>
    </row>
    <row r="10" spans="1:6" ht="38.25" customHeight="1" x14ac:dyDescent="0.2">
      <c r="A10" s="158" t="s">
        <v>3922</v>
      </c>
      <c r="B10" s="154" t="s">
        <v>4017</v>
      </c>
      <c r="C10" s="154" t="s">
        <v>2203</v>
      </c>
      <c r="D10" s="182" t="s">
        <v>1765</v>
      </c>
      <c r="E10" s="183" t="s">
        <v>1766</v>
      </c>
    </row>
    <row r="11" spans="1:6" ht="12" customHeight="1" x14ac:dyDescent="0.2">
      <c r="A11" s="159">
        <v>1</v>
      </c>
      <c r="B11" s="155">
        <v>2</v>
      </c>
      <c r="C11" s="155">
        <v>3</v>
      </c>
      <c r="D11" s="155">
        <v>4</v>
      </c>
      <c r="E11" s="184">
        <v>5</v>
      </c>
    </row>
    <row r="12" spans="1:6" s="2" customFormat="1" ht="14.1" customHeight="1" x14ac:dyDescent="0.2">
      <c r="A12" s="185" t="s">
        <v>1767</v>
      </c>
      <c r="B12" s="186" t="s">
        <v>1331</v>
      </c>
      <c r="C12" s="187">
        <v>1</v>
      </c>
      <c r="D12" s="87">
        <f>D13+D29</f>
        <v>0</v>
      </c>
      <c r="E12" s="112">
        <f>E13+E29</f>
        <v>0</v>
      </c>
    </row>
    <row r="13" spans="1:6" s="2" customFormat="1" ht="14.1" customHeight="1" x14ac:dyDescent="0.2">
      <c r="A13" s="188" t="s">
        <v>1332</v>
      </c>
      <c r="B13" s="189" t="s">
        <v>1333</v>
      </c>
      <c r="C13" s="190">
        <v>2</v>
      </c>
      <c r="D13" s="88">
        <f>D14+D21</f>
        <v>0</v>
      </c>
      <c r="E13" s="113">
        <f>E14+E21</f>
        <v>0</v>
      </c>
    </row>
    <row r="14" spans="1:6" s="2" customFormat="1" ht="14.1" customHeight="1" x14ac:dyDescent="0.2">
      <c r="A14" s="188" t="s">
        <v>3874</v>
      </c>
      <c r="B14" s="189" t="s">
        <v>1950</v>
      </c>
      <c r="C14" s="190">
        <v>3</v>
      </c>
      <c r="D14" s="88">
        <f>SUM(D15:D20)</f>
        <v>0</v>
      </c>
      <c r="E14" s="113">
        <f>SUM(E15:E20)</f>
        <v>0</v>
      </c>
    </row>
    <row r="15" spans="1:6" s="2" customFormat="1" ht="14.1" customHeight="1" x14ac:dyDescent="0.2">
      <c r="A15" s="188" t="s">
        <v>3874</v>
      </c>
      <c r="B15" s="189" t="s">
        <v>3642</v>
      </c>
      <c r="C15" s="190">
        <v>4</v>
      </c>
      <c r="D15" s="85"/>
      <c r="E15" s="114"/>
    </row>
    <row r="16" spans="1:6" s="2" customFormat="1" ht="14.1" customHeight="1" x14ac:dyDescent="0.2">
      <c r="A16" s="188" t="s">
        <v>3874</v>
      </c>
      <c r="B16" s="189" t="s">
        <v>2475</v>
      </c>
      <c r="C16" s="190">
        <v>5</v>
      </c>
      <c r="D16" s="85"/>
      <c r="E16" s="114"/>
    </row>
    <row r="17" spans="1:5" s="2" customFormat="1" ht="14.1" customHeight="1" x14ac:dyDescent="0.2">
      <c r="A17" s="188" t="s">
        <v>3874</v>
      </c>
      <c r="B17" s="189" t="s">
        <v>3169</v>
      </c>
      <c r="C17" s="190">
        <v>6</v>
      </c>
      <c r="D17" s="85"/>
      <c r="E17" s="114"/>
    </row>
    <row r="18" spans="1:5" s="2" customFormat="1" ht="14.1" customHeight="1" x14ac:dyDescent="0.2">
      <c r="A18" s="294" t="s">
        <v>3874</v>
      </c>
      <c r="B18" s="293" t="s">
        <v>4089</v>
      </c>
      <c r="C18" s="217">
        <v>7</v>
      </c>
      <c r="D18" s="85"/>
      <c r="E18" s="114"/>
    </row>
    <row r="19" spans="1:5" s="2" customFormat="1" ht="14.1" customHeight="1" x14ac:dyDescent="0.2">
      <c r="A19" s="188" t="s">
        <v>3874</v>
      </c>
      <c r="B19" s="189" t="s">
        <v>1109</v>
      </c>
      <c r="C19" s="190">
        <v>8</v>
      </c>
      <c r="D19" s="85"/>
      <c r="E19" s="114"/>
    </row>
    <row r="20" spans="1:5" s="2" customFormat="1" ht="14.1" customHeight="1" x14ac:dyDescent="0.2">
      <c r="A20" s="188" t="s">
        <v>3874</v>
      </c>
      <c r="B20" s="189" t="s">
        <v>2476</v>
      </c>
      <c r="C20" s="190">
        <v>9</v>
      </c>
      <c r="D20" s="85"/>
      <c r="E20" s="114"/>
    </row>
    <row r="21" spans="1:5" s="2" customFormat="1" ht="14.1" customHeight="1" x14ac:dyDescent="0.2">
      <c r="A21" s="188" t="s">
        <v>3874</v>
      </c>
      <c r="B21" s="189" t="s">
        <v>2477</v>
      </c>
      <c r="C21" s="190">
        <v>10</v>
      </c>
      <c r="D21" s="88">
        <f>SUM(D22:D28)</f>
        <v>0</v>
      </c>
      <c r="E21" s="113">
        <f>SUM(E22:E28)</f>
        <v>0</v>
      </c>
    </row>
    <row r="22" spans="1:5" s="2" customFormat="1" ht="14.1" customHeight="1" x14ac:dyDescent="0.2">
      <c r="A22" s="188" t="s">
        <v>3874</v>
      </c>
      <c r="B22" s="189" t="s">
        <v>2899</v>
      </c>
      <c r="C22" s="190">
        <v>11</v>
      </c>
      <c r="D22" s="85"/>
      <c r="E22" s="114"/>
    </row>
    <row r="23" spans="1:5" s="2" customFormat="1" ht="14.1" customHeight="1" x14ac:dyDescent="0.2">
      <c r="A23" s="188" t="s">
        <v>3874</v>
      </c>
      <c r="B23" s="189" t="s">
        <v>1386</v>
      </c>
      <c r="C23" s="190">
        <v>12</v>
      </c>
      <c r="D23" s="85"/>
      <c r="E23" s="114"/>
    </row>
    <row r="24" spans="1:5" s="2" customFormat="1" ht="14.1" customHeight="1" x14ac:dyDescent="0.2">
      <c r="A24" s="188" t="s">
        <v>3874</v>
      </c>
      <c r="B24" s="189" t="s">
        <v>1110</v>
      </c>
      <c r="C24" s="190">
        <v>13</v>
      </c>
      <c r="D24" s="85"/>
      <c r="E24" s="114"/>
    </row>
    <row r="25" spans="1:5" s="2" customFormat="1" ht="14.1" customHeight="1" x14ac:dyDescent="0.2">
      <c r="A25" s="188" t="s">
        <v>3874</v>
      </c>
      <c r="B25" s="189" t="s">
        <v>2900</v>
      </c>
      <c r="C25" s="190">
        <v>14</v>
      </c>
      <c r="D25" s="85"/>
      <c r="E25" s="114"/>
    </row>
    <row r="26" spans="1:5" s="2" customFormat="1" ht="14.1" customHeight="1" x14ac:dyDescent="0.2">
      <c r="A26" s="188" t="s">
        <v>3874</v>
      </c>
      <c r="B26" s="189" t="s">
        <v>2901</v>
      </c>
      <c r="C26" s="190">
        <v>15</v>
      </c>
      <c r="D26" s="85"/>
      <c r="E26" s="114"/>
    </row>
    <row r="27" spans="1:5" s="2" customFormat="1" ht="14.1" customHeight="1" x14ac:dyDescent="0.2">
      <c r="A27" s="188" t="s">
        <v>3874</v>
      </c>
      <c r="B27" s="189" t="s">
        <v>2902</v>
      </c>
      <c r="C27" s="190">
        <v>16</v>
      </c>
      <c r="D27" s="85"/>
      <c r="E27" s="114"/>
    </row>
    <row r="28" spans="1:5" s="2" customFormat="1" ht="14.1" customHeight="1" x14ac:dyDescent="0.2">
      <c r="A28" s="188" t="s">
        <v>3874</v>
      </c>
      <c r="B28" s="189" t="s">
        <v>226</v>
      </c>
      <c r="C28" s="190">
        <v>17</v>
      </c>
      <c r="D28" s="85"/>
      <c r="E28" s="114"/>
    </row>
    <row r="29" spans="1:5" s="2" customFormat="1" ht="14.1" customHeight="1" x14ac:dyDescent="0.2">
      <c r="A29" s="188" t="s">
        <v>2903</v>
      </c>
      <c r="B29" s="189" t="s">
        <v>399</v>
      </c>
      <c r="C29" s="190">
        <v>18</v>
      </c>
      <c r="D29" s="88">
        <f>D30+D37</f>
        <v>0</v>
      </c>
      <c r="E29" s="113">
        <f>E30+E37</f>
        <v>0</v>
      </c>
    </row>
    <row r="30" spans="1:5" s="2" customFormat="1" ht="14.1" customHeight="1" x14ac:dyDescent="0.2">
      <c r="A30" s="188" t="s">
        <v>3874</v>
      </c>
      <c r="B30" s="189" t="s">
        <v>400</v>
      </c>
      <c r="C30" s="190">
        <v>19</v>
      </c>
      <c r="D30" s="88">
        <f>SUM(D31:D36)</f>
        <v>0</v>
      </c>
      <c r="E30" s="113">
        <f>SUM(E31:E36)</f>
        <v>0</v>
      </c>
    </row>
    <row r="31" spans="1:5" s="2" customFormat="1" ht="14.1" customHeight="1" x14ac:dyDescent="0.2">
      <c r="A31" s="188" t="s">
        <v>3874</v>
      </c>
      <c r="B31" s="189" t="s">
        <v>3642</v>
      </c>
      <c r="C31" s="190">
        <v>20</v>
      </c>
      <c r="D31" s="85"/>
      <c r="E31" s="114"/>
    </row>
    <row r="32" spans="1:5" s="2" customFormat="1" ht="14.1" customHeight="1" x14ac:dyDescent="0.2">
      <c r="A32" s="188" t="s">
        <v>3874</v>
      </c>
      <c r="B32" s="189" t="s">
        <v>2475</v>
      </c>
      <c r="C32" s="190">
        <v>21</v>
      </c>
      <c r="D32" s="85"/>
      <c r="E32" s="114"/>
    </row>
    <row r="33" spans="1:5" s="2" customFormat="1" ht="14.1" customHeight="1" x14ac:dyDescent="0.2">
      <c r="A33" s="188" t="s">
        <v>3874</v>
      </c>
      <c r="B33" s="189" t="s">
        <v>3169</v>
      </c>
      <c r="C33" s="190">
        <v>22</v>
      </c>
      <c r="D33" s="85"/>
      <c r="E33" s="114"/>
    </row>
    <row r="34" spans="1:5" s="2" customFormat="1" ht="14.1" customHeight="1" x14ac:dyDescent="0.2">
      <c r="A34" s="294" t="s">
        <v>3874</v>
      </c>
      <c r="B34" s="293" t="s">
        <v>4089</v>
      </c>
      <c r="C34" s="217">
        <v>23</v>
      </c>
      <c r="D34" s="85"/>
      <c r="E34" s="114"/>
    </row>
    <row r="35" spans="1:5" s="2" customFormat="1" ht="14.1" customHeight="1" x14ac:dyDescent="0.2">
      <c r="A35" s="188" t="s">
        <v>3874</v>
      </c>
      <c r="B35" s="189" t="s">
        <v>1109</v>
      </c>
      <c r="C35" s="190">
        <v>24</v>
      </c>
      <c r="D35" s="85"/>
      <c r="E35" s="114"/>
    </row>
    <row r="36" spans="1:5" s="2" customFormat="1" ht="14.1" customHeight="1" x14ac:dyDescent="0.2">
      <c r="A36" s="188" t="s">
        <v>3874</v>
      </c>
      <c r="B36" s="189" t="s">
        <v>2476</v>
      </c>
      <c r="C36" s="190">
        <v>25</v>
      </c>
      <c r="D36" s="85"/>
      <c r="E36" s="114"/>
    </row>
    <row r="37" spans="1:5" s="2" customFormat="1" ht="14.1" customHeight="1" x14ac:dyDescent="0.2">
      <c r="A37" s="188" t="s">
        <v>3874</v>
      </c>
      <c r="B37" s="189" t="s">
        <v>455</v>
      </c>
      <c r="C37" s="190">
        <v>26</v>
      </c>
      <c r="D37" s="88">
        <f>SUM(D38:D44)</f>
        <v>0</v>
      </c>
      <c r="E37" s="113">
        <f>SUM(E38:E44)</f>
        <v>0</v>
      </c>
    </row>
    <row r="38" spans="1:5" s="2" customFormat="1" ht="14.1" customHeight="1" x14ac:dyDescent="0.2">
      <c r="A38" s="188" t="s">
        <v>3874</v>
      </c>
      <c r="B38" s="189" t="s">
        <v>2899</v>
      </c>
      <c r="C38" s="190">
        <v>27</v>
      </c>
      <c r="D38" s="85"/>
      <c r="E38" s="114"/>
    </row>
    <row r="39" spans="1:5" s="2" customFormat="1" ht="14.1" customHeight="1" x14ac:dyDescent="0.2">
      <c r="A39" s="188" t="s">
        <v>3874</v>
      </c>
      <c r="B39" s="189" t="s">
        <v>1386</v>
      </c>
      <c r="C39" s="190">
        <v>28</v>
      </c>
      <c r="D39" s="85"/>
      <c r="E39" s="114"/>
    </row>
    <row r="40" spans="1:5" s="2" customFormat="1" ht="14.1" customHeight="1" x14ac:dyDescent="0.2">
      <c r="A40" s="188" t="s">
        <v>3874</v>
      </c>
      <c r="B40" s="189" t="s">
        <v>1110</v>
      </c>
      <c r="C40" s="190">
        <v>29</v>
      </c>
      <c r="D40" s="85"/>
      <c r="E40" s="114"/>
    </row>
    <row r="41" spans="1:5" s="2" customFormat="1" ht="14.1" customHeight="1" x14ac:dyDescent="0.2">
      <c r="A41" s="188" t="s">
        <v>3874</v>
      </c>
      <c r="B41" s="189" t="s">
        <v>2900</v>
      </c>
      <c r="C41" s="190">
        <v>30</v>
      </c>
      <c r="D41" s="85"/>
      <c r="E41" s="114"/>
    </row>
    <row r="42" spans="1:5" s="2" customFormat="1" ht="14.1" customHeight="1" x14ac:dyDescent="0.2">
      <c r="A42" s="188" t="s">
        <v>3874</v>
      </c>
      <c r="B42" s="189" t="s">
        <v>2901</v>
      </c>
      <c r="C42" s="190">
        <v>31</v>
      </c>
      <c r="D42" s="85"/>
      <c r="E42" s="114"/>
    </row>
    <row r="43" spans="1:5" s="2" customFormat="1" ht="14.1" customHeight="1" x14ac:dyDescent="0.2">
      <c r="A43" s="188" t="s">
        <v>3874</v>
      </c>
      <c r="B43" s="189" t="s">
        <v>2902</v>
      </c>
      <c r="C43" s="190">
        <v>32</v>
      </c>
      <c r="D43" s="85"/>
      <c r="E43" s="114"/>
    </row>
    <row r="44" spans="1:5" s="2" customFormat="1" ht="14.1" customHeight="1" x14ac:dyDescent="0.2">
      <c r="A44" s="188" t="s">
        <v>3874</v>
      </c>
      <c r="B44" s="189" t="s">
        <v>226</v>
      </c>
      <c r="C44" s="190">
        <v>33</v>
      </c>
      <c r="D44" s="85"/>
      <c r="E44" s="114"/>
    </row>
    <row r="45" spans="1:5" s="2" customFormat="1" ht="14.1" customHeight="1" x14ac:dyDescent="0.2">
      <c r="A45" s="188" t="s">
        <v>2844</v>
      </c>
      <c r="B45" s="189" t="s">
        <v>544</v>
      </c>
      <c r="C45" s="190">
        <v>34</v>
      </c>
      <c r="D45" s="88">
        <f>D46+D51</f>
        <v>0</v>
      </c>
      <c r="E45" s="113">
        <f>E46+E51</f>
        <v>0</v>
      </c>
    </row>
    <row r="46" spans="1:5" s="2" customFormat="1" ht="14.1" customHeight="1" x14ac:dyDescent="0.2">
      <c r="A46" s="188" t="s">
        <v>545</v>
      </c>
      <c r="B46" s="189" t="s">
        <v>546</v>
      </c>
      <c r="C46" s="190">
        <v>35</v>
      </c>
      <c r="D46" s="88">
        <f>SUM(D47:D50)</f>
        <v>0</v>
      </c>
      <c r="E46" s="113">
        <f>SUM(E47:E50)</f>
        <v>0</v>
      </c>
    </row>
    <row r="47" spans="1:5" s="2" customFormat="1" ht="14.1" customHeight="1" x14ac:dyDescent="0.2">
      <c r="A47" s="188" t="s">
        <v>3874</v>
      </c>
      <c r="B47" s="189" t="s">
        <v>2134</v>
      </c>
      <c r="C47" s="190">
        <v>36</v>
      </c>
      <c r="D47" s="85"/>
      <c r="E47" s="114"/>
    </row>
    <row r="48" spans="1:5" s="2" customFormat="1" ht="14.1" customHeight="1" x14ac:dyDescent="0.2">
      <c r="A48" s="188" t="s">
        <v>3874</v>
      </c>
      <c r="B48" s="189" t="s">
        <v>651</v>
      </c>
      <c r="C48" s="190">
        <v>37</v>
      </c>
      <c r="D48" s="85"/>
      <c r="E48" s="114"/>
    </row>
    <row r="49" spans="1:7" s="2" customFormat="1" ht="14.1" customHeight="1" x14ac:dyDescent="0.2">
      <c r="A49" s="188" t="s">
        <v>3874</v>
      </c>
      <c r="B49" s="189" t="s">
        <v>2739</v>
      </c>
      <c r="C49" s="190">
        <v>38</v>
      </c>
      <c r="D49" s="85"/>
      <c r="E49" s="114"/>
    </row>
    <row r="50" spans="1:7" s="2" customFormat="1" ht="14.1" customHeight="1" x14ac:dyDescent="0.2">
      <c r="A50" s="188" t="s">
        <v>3874</v>
      </c>
      <c r="B50" s="189" t="s">
        <v>1111</v>
      </c>
      <c r="C50" s="190">
        <v>39</v>
      </c>
      <c r="D50" s="85"/>
      <c r="E50" s="114"/>
    </row>
    <row r="51" spans="1:7" s="2" customFormat="1" ht="14.1" customHeight="1" x14ac:dyDescent="0.2">
      <c r="A51" s="188" t="s">
        <v>2740</v>
      </c>
      <c r="B51" s="189" t="s">
        <v>847</v>
      </c>
      <c r="C51" s="190">
        <v>40</v>
      </c>
      <c r="D51" s="88">
        <f>SUM(D52:D55)</f>
        <v>0</v>
      </c>
      <c r="E51" s="113">
        <f>SUM(E52:E55)</f>
        <v>0</v>
      </c>
    </row>
    <row r="52" spans="1:7" s="2" customFormat="1" ht="14.1" customHeight="1" x14ac:dyDescent="0.2">
      <c r="A52" s="188" t="s">
        <v>3874</v>
      </c>
      <c r="B52" s="189" t="s">
        <v>2134</v>
      </c>
      <c r="C52" s="190">
        <v>41</v>
      </c>
      <c r="D52" s="85"/>
      <c r="E52" s="114"/>
    </row>
    <row r="53" spans="1:7" s="2" customFormat="1" ht="14.1" customHeight="1" x14ac:dyDescent="0.2">
      <c r="A53" s="188" t="s">
        <v>3874</v>
      </c>
      <c r="B53" s="189" t="s">
        <v>651</v>
      </c>
      <c r="C53" s="190">
        <v>42</v>
      </c>
      <c r="D53" s="85"/>
      <c r="E53" s="114"/>
    </row>
    <row r="54" spans="1:7" s="2" customFormat="1" ht="14.1" customHeight="1" x14ac:dyDescent="0.2">
      <c r="A54" s="188" t="s">
        <v>3874</v>
      </c>
      <c r="B54" s="189" t="s">
        <v>2739</v>
      </c>
      <c r="C54" s="190">
        <v>43</v>
      </c>
      <c r="D54" s="85"/>
      <c r="E54" s="114"/>
    </row>
    <row r="55" spans="1:7" s="2" customFormat="1" ht="14.1" customHeight="1" x14ac:dyDescent="0.2">
      <c r="A55" s="191"/>
      <c r="B55" s="192" t="s">
        <v>1111</v>
      </c>
      <c r="C55" s="193">
        <v>44</v>
      </c>
      <c r="D55" s="86"/>
      <c r="E55" s="115"/>
    </row>
    <row r="56" spans="1:7" ht="6.75" customHeight="1" x14ac:dyDescent="0.2"/>
    <row r="57" spans="1:7" x14ac:dyDescent="0.2"/>
    <row r="58" spans="1:7" s="179" customFormat="1" ht="25.5" customHeight="1" x14ac:dyDescent="0.2">
      <c r="A58" s="178" t="s">
        <v>3427</v>
      </c>
      <c r="B58" s="178"/>
      <c r="D58" s="452" t="s">
        <v>2209</v>
      </c>
      <c r="E58" s="452"/>
      <c r="F58" s="178"/>
      <c r="G58" s="194"/>
    </row>
    <row r="59" spans="1:7" s="179" customFormat="1" ht="15" customHeight="1" x14ac:dyDescent="0.2">
      <c r="A59" s="178" t="str">
        <f>IF(RefStr!H25&lt;&gt;"", "Osoba za kontaktiranje: " &amp; RefStr!H25,"Osoba za kontaktiranje: _________________________________________")</f>
        <v>Osoba za kontaktiranje: Željka Bosorić Baruškin</v>
      </c>
      <c r="B59" s="178"/>
      <c r="D59" s="180"/>
      <c r="E59" s="180"/>
      <c r="F59" s="178"/>
      <c r="G59" s="194"/>
    </row>
    <row r="60" spans="1:7" s="179" customFormat="1" ht="15" customHeight="1" x14ac:dyDescent="0.2">
      <c r="A60" s="178" t="str">
        <f>IF(RefStr!H27="","Telefon za kontakt: _________________","Telefon za kontakt: " &amp; RefStr!H27)</f>
        <v>Telefon za kontakt: 048210007</v>
      </c>
      <c r="B60" s="178"/>
      <c r="F60" s="178"/>
      <c r="G60" s="194"/>
    </row>
    <row r="61" spans="1:7" s="179" customFormat="1" ht="15" customHeight="1" x14ac:dyDescent="0.2">
      <c r="A61" s="178" t="str">
        <f>IF(RefStr!H33="","Odgovorna osoba: _____________________________","Odgovorna osoba: " &amp; RefStr!H33)</f>
        <v>Odgovorna osoba: Vjekoslav Maletić</v>
      </c>
      <c r="B61" s="178"/>
      <c r="C61" s="178"/>
      <c r="D61" s="178"/>
      <c r="E61" s="178"/>
      <c r="F61" s="178"/>
      <c r="G61" s="194"/>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58"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38" t="s">
        <v>3609</v>
      </c>
      <c r="B1" s="438"/>
      <c r="C1" s="479" t="s">
        <v>803</v>
      </c>
      <c r="D1" s="479"/>
    </row>
    <row r="2" spans="1:4" ht="39.950000000000003" customHeight="1" thickBot="1" x14ac:dyDescent="0.25">
      <c r="A2" s="477" t="s">
        <v>3250</v>
      </c>
      <c r="B2" s="459"/>
      <c r="C2" s="456" t="s">
        <v>1114</v>
      </c>
      <c r="D2" s="476"/>
    </row>
    <row r="3" spans="1:4" ht="30" customHeight="1" x14ac:dyDescent="0.2">
      <c r="A3" s="478" t="str">
        <f>"za razdoblje "&amp;IF(RefStr!K10="","________________",TEXT(RefStr!K10,"d. mmmm yyyy.")&amp;" do "&amp;IF(RefStr!K12="","______________",TEXT(RefStr!K12,"d. mmmm yyyy.")))</f>
        <v>za razdoblje 1. siječanj 2021. do 30. rujan 2021.</v>
      </c>
      <c r="B3" s="478"/>
      <c r="C3" s="174"/>
      <c r="D3" s="174"/>
    </row>
    <row r="4" spans="1:4" ht="15" customHeight="1" x14ac:dyDescent="0.2">
      <c r="A4" s="32" t="s">
        <v>1094</v>
      </c>
      <c r="B4" s="89" t="str">
        <f>"RKP: "&amp;IF(RefStr!B6&lt;&gt;"",TEXT(INT(VALUE(RefStr!B6)),"00000"),"_____"&amp;",  "&amp;"MB: "&amp;IF(RefStr!B8&lt;&gt;"",TEXT(INT(VALUE(RefStr!B8)),"00000000"),"________")&amp;"  OIB: "&amp;IF(RefStr!K14&lt;&gt;"",RefStr!K14,"___________"))</f>
        <v>RKP: 27861</v>
      </c>
      <c r="C4" s="433">
        <f>SUM(Skriveni!G1480:G1580)</f>
        <v>667317.56800000009</v>
      </c>
      <c r="D4" s="434"/>
    </row>
    <row r="5" spans="1:4" ht="15" customHeight="1" x14ac:dyDescent="0.2">
      <c r="B5" s="89" t="str">
        <f>"Naziv: "&amp;IF(RefStr!B10&lt;&gt;"",RefStr!B10,"_______________________________________")</f>
        <v xml:space="preserve">Naziv: OPĆINA FERDINANDOVAC </v>
      </c>
      <c r="C5" s="435" t="s">
        <v>259</v>
      </c>
      <c r="D5" s="435"/>
    </row>
    <row r="6" spans="1:4" ht="15" customHeight="1" x14ac:dyDescent="0.2">
      <c r="A6" s="20"/>
      <c r="B6" s="448" t="str">
        <f xml:space="preserve"> "Razina: " &amp; RefStr!B16 &amp; ", Razdjel: " &amp; TEXT(INT(VALUE(RefStr!B20)), "000")</f>
        <v>Razina: 22, Razdjel: 000</v>
      </c>
      <c r="C6" s="448"/>
      <c r="D6" s="448"/>
    </row>
    <row r="7" spans="1:4" ht="15" customHeight="1" x14ac:dyDescent="0.2">
      <c r="A7" s="20"/>
      <c r="B7" s="448" t="str">
        <f>"Djelatnost: " &amp; RefStr!B18 &amp; " " &amp; RefStr!C18</f>
        <v>Djelatnost: 8411 Opće djelatnosti javne uprave</v>
      </c>
      <c r="C7" s="448"/>
      <c r="D7" s="448"/>
    </row>
    <row r="8" spans="1:4" ht="5.0999999999999996" customHeight="1" x14ac:dyDescent="0.2">
      <c r="A8" s="174"/>
      <c r="B8" s="174"/>
      <c r="C8" s="174"/>
      <c r="D8" s="174"/>
    </row>
    <row r="9" spans="1:4" x14ac:dyDescent="0.2">
      <c r="A9" s="174"/>
      <c r="B9" s="174"/>
      <c r="C9" s="174"/>
      <c r="D9" s="175" t="s">
        <v>804</v>
      </c>
    </row>
    <row r="10" spans="1:4" ht="22.5" x14ac:dyDescent="0.2">
      <c r="A10" s="158" t="s">
        <v>3922</v>
      </c>
      <c r="B10" s="154" t="s">
        <v>2204</v>
      </c>
      <c r="C10" s="154" t="s">
        <v>2203</v>
      </c>
      <c r="D10" s="116" t="s">
        <v>1935</v>
      </c>
    </row>
    <row r="11" spans="1:4" x14ac:dyDescent="0.2">
      <c r="A11" s="159">
        <v>1</v>
      </c>
      <c r="B11" s="155">
        <v>2</v>
      </c>
      <c r="C11" s="155">
        <v>3</v>
      </c>
      <c r="D11" s="117">
        <v>4</v>
      </c>
    </row>
    <row r="12" spans="1:4" x14ac:dyDescent="0.2">
      <c r="A12" s="160"/>
      <c r="B12" s="295" t="s">
        <v>746</v>
      </c>
      <c r="C12" s="296">
        <v>1</v>
      </c>
      <c r="D12" s="118">
        <v>213893</v>
      </c>
    </row>
    <row r="13" spans="1:4" x14ac:dyDescent="0.2">
      <c r="A13" s="161"/>
      <c r="B13" s="162" t="s">
        <v>724</v>
      </c>
      <c r="C13" s="156">
        <v>2</v>
      </c>
      <c r="D13" s="119">
        <f>D14+D15+D24+D25</f>
        <v>6459380</v>
      </c>
    </row>
    <row r="14" spans="1:4" x14ac:dyDescent="0.2">
      <c r="A14" s="161"/>
      <c r="B14" s="162" t="s">
        <v>4016</v>
      </c>
      <c r="C14" s="156">
        <v>3</v>
      </c>
      <c r="D14" s="120"/>
    </row>
    <row r="15" spans="1:4" x14ac:dyDescent="0.2">
      <c r="A15" s="161" t="s">
        <v>3840</v>
      </c>
      <c r="B15" s="162" t="s">
        <v>725</v>
      </c>
      <c r="C15" s="156">
        <v>4</v>
      </c>
      <c r="D15" s="119">
        <f>SUM(D16:D23)</f>
        <v>2882507</v>
      </c>
    </row>
    <row r="16" spans="1:4" x14ac:dyDescent="0.2">
      <c r="A16" s="163" t="s">
        <v>3841</v>
      </c>
      <c r="B16" s="164" t="s">
        <v>3842</v>
      </c>
      <c r="C16" s="156">
        <v>5</v>
      </c>
      <c r="D16" s="120">
        <v>553372</v>
      </c>
    </row>
    <row r="17" spans="1:4" x14ac:dyDescent="0.2">
      <c r="A17" s="163" t="s">
        <v>3843</v>
      </c>
      <c r="B17" s="164" t="s">
        <v>3844</v>
      </c>
      <c r="C17" s="156">
        <v>6</v>
      </c>
      <c r="D17" s="120">
        <v>1947041</v>
      </c>
    </row>
    <row r="18" spans="1:4" x14ac:dyDescent="0.2">
      <c r="A18" s="163" t="s">
        <v>3845</v>
      </c>
      <c r="B18" s="164" t="s">
        <v>3846</v>
      </c>
      <c r="C18" s="156">
        <v>7</v>
      </c>
      <c r="D18" s="120">
        <v>41018</v>
      </c>
    </row>
    <row r="19" spans="1:4" x14ac:dyDescent="0.2">
      <c r="A19" s="163" t="s">
        <v>3847</v>
      </c>
      <c r="B19" s="164" t="s">
        <v>3848</v>
      </c>
      <c r="C19" s="156">
        <v>8</v>
      </c>
      <c r="D19" s="120">
        <v>5695</v>
      </c>
    </row>
    <row r="20" spans="1:4" x14ac:dyDescent="0.2">
      <c r="A20" s="163" t="s">
        <v>1035</v>
      </c>
      <c r="B20" s="164" t="s">
        <v>1036</v>
      </c>
      <c r="C20" s="215">
        <v>9</v>
      </c>
      <c r="D20" s="120"/>
    </row>
    <row r="21" spans="1:4" x14ac:dyDescent="0.2">
      <c r="A21" s="163" t="s">
        <v>3849</v>
      </c>
      <c r="B21" s="164" t="s">
        <v>3850</v>
      </c>
      <c r="C21" s="215">
        <v>10</v>
      </c>
      <c r="D21" s="120">
        <v>308203</v>
      </c>
    </row>
    <row r="22" spans="1:4" x14ac:dyDescent="0.2">
      <c r="A22" s="163" t="s">
        <v>3851</v>
      </c>
      <c r="B22" s="164" t="s">
        <v>2527</v>
      </c>
      <c r="C22" s="215">
        <v>11</v>
      </c>
      <c r="D22" s="120"/>
    </row>
    <row r="23" spans="1:4" x14ac:dyDescent="0.2">
      <c r="A23" s="163" t="s">
        <v>3852</v>
      </c>
      <c r="B23" s="164" t="s">
        <v>649</v>
      </c>
      <c r="C23" s="215">
        <v>12</v>
      </c>
      <c r="D23" s="120">
        <v>27178</v>
      </c>
    </row>
    <row r="24" spans="1:4" x14ac:dyDescent="0.2">
      <c r="A24" s="161" t="s">
        <v>650</v>
      </c>
      <c r="B24" s="162" t="s">
        <v>651</v>
      </c>
      <c r="C24" s="215">
        <v>13</v>
      </c>
      <c r="D24" s="120">
        <v>3576873</v>
      </c>
    </row>
    <row r="25" spans="1:4" x14ac:dyDescent="0.2">
      <c r="A25" s="163" t="s">
        <v>3390</v>
      </c>
      <c r="B25" s="162" t="s">
        <v>726</v>
      </c>
      <c r="C25" s="215">
        <v>14</v>
      </c>
      <c r="D25" s="297">
        <f>SUM(D26:D30)</f>
        <v>0</v>
      </c>
    </row>
    <row r="26" spans="1:4" x14ac:dyDescent="0.2">
      <c r="A26" s="163">
        <v>251.25299999999999</v>
      </c>
      <c r="B26" s="164" t="s">
        <v>1568</v>
      </c>
      <c r="C26" s="215">
        <v>15</v>
      </c>
      <c r="D26" s="120"/>
    </row>
    <row r="27" spans="1:4" x14ac:dyDescent="0.2">
      <c r="A27" s="163" t="s">
        <v>3391</v>
      </c>
      <c r="B27" s="164" t="s">
        <v>2237</v>
      </c>
      <c r="C27" s="215">
        <v>16</v>
      </c>
      <c r="D27" s="120"/>
    </row>
    <row r="28" spans="1:4" x14ac:dyDescent="0.2">
      <c r="A28" s="163" t="s">
        <v>3392</v>
      </c>
      <c r="B28" s="164" t="s">
        <v>2241</v>
      </c>
      <c r="C28" s="215">
        <v>17</v>
      </c>
      <c r="D28" s="120"/>
    </row>
    <row r="29" spans="1:4" ht="19.5" x14ac:dyDescent="0.2">
      <c r="A29" s="165" t="s">
        <v>2577</v>
      </c>
      <c r="B29" s="164" t="s">
        <v>1567</v>
      </c>
      <c r="C29" s="215">
        <v>18</v>
      </c>
      <c r="D29" s="120"/>
    </row>
    <row r="30" spans="1:4" ht="19.5" x14ac:dyDescent="0.2">
      <c r="A30" s="165" t="s">
        <v>3251</v>
      </c>
      <c r="B30" s="164" t="s">
        <v>1566</v>
      </c>
      <c r="C30" s="215">
        <v>19</v>
      </c>
      <c r="D30" s="120"/>
    </row>
    <row r="31" spans="1:4" x14ac:dyDescent="0.2">
      <c r="A31" s="163"/>
      <c r="B31" s="162" t="s">
        <v>727</v>
      </c>
      <c r="C31" s="215">
        <v>20</v>
      </c>
      <c r="D31" s="119">
        <f>D32+D33+D42+D43</f>
        <v>5626464</v>
      </c>
    </row>
    <row r="32" spans="1:4" x14ac:dyDescent="0.2">
      <c r="A32" s="163"/>
      <c r="B32" s="162" t="s">
        <v>4016</v>
      </c>
      <c r="C32" s="215">
        <v>21</v>
      </c>
      <c r="D32" s="120"/>
    </row>
    <row r="33" spans="1:4" x14ac:dyDescent="0.2">
      <c r="A33" s="161" t="s">
        <v>3840</v>
      </c>
      <c r="B33" s="162" t="s">
        <v>728</v>
      </c>
      <c r="C33" s="215">
        <v>22</v>
      </c>
      <c r="D33" s="119">
        <f>SUM(D34:D41)</f>
        <v>2950359</v>
      </c>
    </row>
    <row r="34" spans="1:4" x14ac:dyDescent="0.2">
      <c r="A34" s="163" t="s">
        <v>3841</v>
      </c>
      <c r="B34" s="164" t="s">
        <v>3842</v>
      </c>
      <c r="C34" s="215">
        <v>23</v>
      </c>
      <c r="D34" s="120">
        <v>632337</v>
      </c>
    </row>
    <row r="35" spans="1:4" x14ac:dyDescent="0.2">
      <c r="A35" s="163" t="s">
        <v>3843</v>
      </c>
      <c r="B35" s="164" t="s">
        <v>3844</v>
      </c>
      <c r="C35" s="215">
        <v>24</v>
      </c>
      <c r="D35" s="120">
        <v>1915437</v>
      </c>
    </row>
    <row r="36" spans="1:4" x14ac:dyDescent="0.2">
      <c r="A36" s="163" t="s">
        <v>3845</v>
      </c>
      <c r="B36" s="164" t="s">
        <v>3846</v>
      </c>
      <c r="C36" s="215">
        <v>25</v>
      </c>
      <c r="D36" s="120">
        <v>39186</v>
      </c>
    </row>
    <row r="37" spans="1:4" x14ac:dyDescent="0.2">
      <c r="A37" s="163" t="s">
        <v>3847</v>
      </c>
      <c r="B37" s="164" t="s">
        <v>3848</v>
      </c>
      <c r="C37" s="215">
        <v>26</v>
      </c>
      <c r="D37" s="120">
        <v>5695</v>
      </c>
    </row>
    <row r="38" spans="1:4" x14ac:dyDescent="0.2">
      <c r="A38" s="163" t="s">
        <v>1035</v>
      </c>
      <c r="B38" s="164" t="s">
        <v>1036</v>
      </c>
      <c r="C38" s="215">
        <v>27</v>
      </c>
      <c r="D38" s="120"/>
    </row>
    <row r="39" spans="1:4" x14ac:dyDescent="0.2">
      <c r="A39" s="163" t="s">
        <v>3849</v>
      </c>
      <c r="B39" s="164" t="s">
        <v>3850</v>
      </c>
      <c r="C39" s="215">
        <v>28</v>
      </c>
      <c r="D39" s="120">
        <v>306526</v>
      </c>
    </row>
    <row r="40" spans="1:4" x14ac:dyDescent="0.2">
      <c r="A40" s="163" t="s">
        <v>3851</v>
      </c>
      <c r="B40" s="164" t="s">
        <v>2527</v>
      </c>
      <c r="C40" s="215">
        <v>29</v>
      </c>
      <c r="D40" s="120"/>
    </row>
    <row r="41" spans="1:4" x14ac:dyDescent="0.2">
      <c r="A41" s="163" t="s">
        <v>3852</v>
      </c>
      <c r="B41" s="164" t="s">
        <v>649</v>
      </c>
      <c r="C41" s="215">
        <v>30</v>
      </c>
      <c r="D41" s="120">
        <v>51178</v>
      </c>
    </row>
    <row r="42" spans="1:4" x14ac:dyDescent="0.2">
      <c r="A42" s="166" t="s">
        <v>650</v>
      </c>
      <c r="B42" s="162" t="s">
        <v>651</v>
      </c>
      <c r="C42" s="215">
        <v>31</v>
      </c>
      <c r="D42" s="120">
        <v>2676105</v>
      </c>
    </row>
    <row r="43" spans="1:4" x14ac:dyDescent="0.2">
      <c r="A43" s="166" t="s">
        <v>3390</v>
      </c>
      <c r="B43" s="162" t="s">
        <v>729</v>
      </c>
      <c r="C43" s="215">
        <v>32</v>
      </c>
      <c r="D43" s="119">
        <f>SUM(D44:D48)</f>
        <v>0</v>
      </c>
    </row>
    <row r="44" spans="1:4" x14ac:dyDescent="0.2">
      <c r="A44" s="167">
        <v>251.25299999999999</v>
      </c>
      <c r="B44" s="164" t="s">
        <v>1568</v>
      </c>
      <c r="C44" s="215">
        <v>33</v>
      </c>
      <c r="D44" s="120"/>
    </row>
    <row r="45" spans="1:4" x14ac:dyDescent="0.2">
      <c r="A45" s="167" t="s">
        <v>3391</v>
      </c>
      <c r="B45" s="164" t="s">
        <v>2237</v>
      </c>
      <c r="C45" s="215">
        <v>34</v>
      </c>
      <c r="D45" s="120"/>
    </row>
    <row r="46" spans="1:4" x14ac:dyDescent="0.2">
      <c r="A46" s="163" t="s">
        <v>3392</v>
      </c>
      <c r="B46" s="164" t="s">
        <v>2241</v>
      </c>
      <c r="C46" s="215">
        <v>35</v>
      </c>
      <c r="D46" s="120"/>
    </row>
    <row r="47" spans="1:4" ht="19.5" x14ac:dyDescent="0.2">
      <c r="A47" s="165" t="s">
        <v>2578</v>
      </c>
      <c r="B47" s="164" t="s">
        <v>1567</v>
      </c>
      <c r="C47" s="215">
        <v>36</v>
      </c>
      <c r="D47" s="120"/>
    </row>
    <row r="48" spans="1:4" ht="19.5" x14ac:dyDescent="0.2">
      <c r="A48" s="168" t="s">
        <v>3251</v>
      </c>
      <c r="B48" s="164" t="s">
        <v>1566</v>
      </c>
      <c r="C48" s="215">
        <v>37</v>
      </c>
      <c r="D48" s="120"/>
    </row>
    <row r="49" spans="1:4" x14ac:dyDescent="0.2">
      <c r="A49" s="167"/>
      <c r="B49" s="162" t="s">
        <v>730</v>
      </c>
      <c r="C49" s="215">
        <v>38</v>
      </c>
      <c r="D49" s="119">
        <f>D12+D13-D31</f>
        <v>1046809</v>
      </c>
    </row>
    <row r="50" spans="1:4" x14ac:dyDescent="0.2">
      <c r="A50" s="169"/>
      <c r="B50" s="162" t="s">
        <v>731</v>
      </c>
      <c r="C50" s="215">
        <v>39</v>
      </c>
      <c r="D50" s="119">
        <f>D51+D56+D97+D102</f>
        <v>5097</v>
      </c>
    </row>
    <row r="51" spans="1:4" x14ac:dyDescent="0.2">
      <c r="A51" s="167"/>
      <c r="B51" s="162" t="s">
        <v>732</v>
      </c>
      <c r="C51" s="215">
        <v>40</v>
      </c>
      <c r="D51" s="119">
        <f>SUM(D52:D55)</f>
        <v>0</v>
      </c>
    </row>
    <row r="52" spans="1:4" x14ac:dyDescent="0.2">
      <c r="A52" s="161"/>
      <c r="B52" s="164" t="s">
        <v>1569</v>
      </c>
      <c r="C52" s="215">
        <v>41</v>
      </c>
      <c r="D52" s="120"/>
    </row>
    <row r="53" spans="1:4" x14ac:dyDescent="0.2">
      <c r="A53" s="163"/>
      <c r="B53" s="164" t="s">
        <v>1570</v>
      </c>
      <c r="C53" s="215">
        <v>42</v>
      </c>
      <c r="D53" s="120"/>
    </row>
    <row r="54" spans="1:4" x14ac:dyDescent="0.2">
      <c r="A54" s="163"/>
      <c r="B54" s="164" t="s">
        <v>1571</v>
      </c>
      <c r="C54" s="215">
        <v>43</v>
      </c>
      <c r="D54" s="120"/>
    </row>
    <row r="55" spans="1:4" x14ac:dyDescent="0.2">
      <c r="A55" s="163"/>
      <c r="B55" s="164" t="s">
        <v>1572</v>
      </c>
      <c r="C55" s="215">
        <v>44</v>
      </c>
      <c r="D55" s="120"/>
    </row>
    <row r="56" spans="1:4" x14ac:dyDescent="0.2">
      <c r="A56" s="161" t="s">
        <v>3840</v>
      </c>
      <c r="B56" s="162" t="s">
        <v>733</v>
      </c>
      <c r="C56" s="215">
        <v>45</v>
      </c>
      <c r="D56" s="119">
        <f>D57+D62+D67+D72+D77+D82+D87+D92</f>
        <v>5097</v>
      </c>
    </row>
    <row r="57" spans="1:4" x14ac:dyDescent="0.2">
      <c r="A57" s="161" t="s">
        <v>3841</v>
      </c>
      <c r="B57" s="162" t="s">
        <v>734</v>
      </c>
      <c r="C57" s="215">
        <v>46</v>
      </c>
      <c r="D57" s="119">
        <f>SUM(D58:D61)</f>
        <v>0</v>
      </c>
    </row>
    <row r="58" spans="1:4" x14ac:dyDescent="0.2">
      <c r="A58" s="167"/>
      <c r="B58" s="164" t="s">
        <v>1569</v>
      </c>
      <c r="C58" s="215">
        <v>47</v>
      </c>
      <c r="D58" s="120"/>
    </row>
    <row r="59" spans="1:4" x14ac:dyDescent="0.2">
      <c r="A59" s="167"/>
      <c r="B59" s="164" t="s">
        <v>1570</v>
      </c>
      <c r="C59" s="215">
        <v>48</v>
      </c>
      <c r="D59" s="120"/>
    </row>
    <row r="60" spans="1:4" x14ac:dyDescent="0.2">
      <c r="A60" s="166"/>
      <c r="B60" s="164" t="s">
        <v>1571</v>
      </c>
      <c r="C60" s="215">
        <v>49</v>
      </c>
      <c r="D60" s="120"/>
    </row>
    <row r="61" spans="1:4" x14ac:dyDescent="0.2">
      <c r="A61" s="167"/>
      <c r="B61" s="164" t="s">
        <v>1572</v>
      </c>
      <c r="C61" s="215">
        <v>50</v>
      </c>
      <c r="D61" s="120"/>
    </row>
    <row r="62" spans="1:4" x14ac:dyDescent="0.2">
      <c r="A62" s="161" t="s">
        <v>3843</v>
      </c>
      <c r="B62" s="162" t="s">
        <v>735</v>
      </c>
      <c r="C62" s="215">
        <v>51</v>
      </c>
      <c r="D62" s="119">
        <f>SUM(D63:D66)</f>
        <v>5097</v>
      </c>
    </row>
    <row r="63" spans="1:4" x14ac:dyDescent="0.2">
      <c r="A63" s="163"/>
      <c r="B63" s="164" t="s">
        <v>1569</v>
      </c>
      <c r="C63" s="215">
        <v>52</v>
      </c>
      <c r="D63" s="120">
        <v>5097</v>
      </c>
    </row>
    <row r="64" spans="1:4" x14ac:dyDescent="0.2">
      <c r="A64" s="163"/>
      <c r="B64" s="164" t="s">
        <v>1570</v>
      </c>
      <c r="C64" s="215">
        <v>53</v>
      </c>
      <c r="D64" s="120"/>
    </row>
    <row r="65" spans="1:4" x14ac:dyDescent="0.2">
      <c r="A65" s="163"/>
      <c r="B65" s="164" t="s">
        <v>1571</v>
      </c>
      <c r="C65" s="215">
        <v>54</v>
      </c>
      <c r="D65" s="120"/>
    </row>
    <row r="66" spans="1:4" x14ac:dyDescent="0.2">
      <c r="A66" s="163"/>
      <c r="B66" s="164" t="s">
        <v>1572</v>
      </c>
      <c r="C66" s="215">
        <v>55</v>
      </c>
      <c r="D66" s="120"/>
    </row>
    <row r="67" spans="1:4" x14ac:dyDescent="0.2">
      <c r="A67" s="161" t="s">
        <v>3845</v>
      </c>
      <c r="B67" s="162" t="s">
        <v>736</v>
      </c>
      <c r="C67" s="215">
        <v>56</v>
      </c>
      <c r="D67" s="119">
        <f>SUM(D68:D71)</f>
        <v>0</v>
      </c>
    </row>
    <row r="68" spans="1:4" x14ac:dyDescent="0.2">
      <c r="A68" s="167"/>
      <c r="B68" s="164" t="s">
        <v>1569</v>
      </c>
      <c r="C68" s="215">
        <v>57</v>
      </c>
      <c r="D68" s="120"/>
    </row>
    <row r="69" spans="1:4" x14ac:dyDescent="0.2">
      <c r="A69" s="167"/>
      <c r="B69" s="164" t="s">
        <v>1570</v>
      </c>
      <c r="C69" s="215">
        <v>58</v>
      </c>
      <c r="D69" s="120"/>
    </row>
    <row r="70" spans="1:4" x14ac:dyDescent="0.2">
      <c r="A70" s="166"/>
      <c r="B70" s="164" t="s">
        <v>1571</v>
      </c>
      <c r="C70" s="215">
        <v>59</v>
      </c>
      <c r="D70" s="120"/>
    </row>
    <row r="71" spans="1:4" x14ac:dyDescent="0.2">
      <c r="A71" s="167"/>
      <c r="B71" s="164" t="s">
        <v>1572</v>
      </c>
      <c r="C71" s="215">
        <v>60</v>
      </c>
      <c r="D71" s="120"/>
    </row>
    <row r="72" spans="1:4" x14ac:dyDescent="0.2">
      <c r="A72" s="161" t="s">
        <v>3847</v>
      </c>
      <c r="B72" s="162" t="s">
        <v>737</v>
      </c>
      <c r="C72" s="215">
        <v>61</v>
      </c>
      <c r="D72" s="119">
        <f>SUM(D73:D76)</f>
        <v>0</v>
      </c>
    </row>
    <row r="73" spans="1:4" x14ac:dyDescent="0.2">
      <c r="A73" s="163"/>
      <c r="B73" s="164" t="s">
        <v>1569</v>
      </c>
      <c r="C73" s="215">
        <v>62</v>
      </c>
      <c r="D73" s="120"/>
    </row>
    <row r="74" spans="1:4" x14ac:dyDescent="0.2">
      <c r="A74" s="163"/>
      <c r="B74" s="164" t="s">
        <v>1570</v>
      </c>
      <c r="C74" s="215">
        <v>63</v>
      </c>
      <c r="D74" s="120"/>
    </row>
    <row r="75" spans="1:4" x14ac:dyDescent="0.2">
      <c r="A75" s="163"/>
      <c r="B75" s="164" t="s">
        <v>1571</v>
      </c>
      <c r="C75" s="215">
        <v>64</v>
      </c>
      <c r="D75" s="120"/>
    </row>
    <row r="76" spans="1:4" x14ac:dyDescent="0.2">
      <c r="A76" s="163"/>
      <c r="B76" s="164" t="s">
        <v>1572</v>
      </c>
      <c r="C76" s="215">
        <v>65</v>
      </c>
      <c r="D76" s="120"/>
    </row>
    <row r="77" spans="1:4" ht="24" x14ac:dyDescent="0.2">
      <c r="A77" s="161" t="s">
        <v>1035</v>
      </c>
      <c r="B77" s="162" t="s">
        <v>738</v>
      </c>
      <c r="C77" s="215">
        <v>66</v>
      </c>
      <c r="D77" s="119">
        <f>SUM(D78:D81)</f>
        <v>0</v>
      </c>
    </row>
    <row r="78" spans="1:4" x14ac:dyDescent="0.2">
      <c r="A78" s="163"/>
      <c r="B78" s="164" t="s">
        <v>1569</v>
      </c>
      <c r="C78" s="215">
        <v>67</v>
      </c>
      <c r="D78" s="120"/>
    </row>
    <row r="79" spans="1:4" x14ac:dyDescent="0.2">
      <c r="A79" s="163"/>
      <c r="B79" s="164" t="s">
        <v>1570</v>
      </c>
      <c r="C79" s="215">
        <v>68</v>
      </c>
      <c r="D79" s="120"/>
    </row>
    <row r="80" spans="1:4" x14ac:dyDescent="0.2">
      <c r="A80" s="163"/>
      <c r="B80" s="164" t="s">
        <v>1571</v>
      </c>
      <c r="C80" s="215">
        <v>69</v>
      </c>
      <c r="D80" s="120"/>
    </row>
    <row r="81" spans="1:4" x14ac:dyDescent="0.2">
      <c r="A81" s="163"/>
      <c r="B81" s="164" t="s">
        <v>1572</v>
      </c>
      <c r="C81" s="215">
        <v>70</v>
      </c>
      <c r="D81" s="120"/>
    </row>
    <row r="82" spans="1:4" x14ac:dyDescent="0.2">
      <c r="A82" s="161" t="s">
        <v>3849</v>
      </c>
      <c r="B82" s="162" t="s">
        <v>739</v>
      </c>
      <c r="C82" s="215">
        <v>71</v>
      </c>
      <c r="D82" s="119">
        <f>SUM(D83:D86)</f>
        <v>0</v>
      </c>
    </row>
    <row r="83" spans="1:4" x14ac:dyDescent="0.2">
      <c r="A83" s="167"/>
      <c r="B83" s="164" t="s">
        <v>1569</v>
      </c>
      <c r="C83" s="215">
        <v>72</v>
      </c>
      <c r="D83" s="120"/>
    </row>
    <row r="84" spans="1:4" x14ac:dyDescent="0.2">
      <c r="A84" s="167"/>
      <c r="B84" s="164" t="s">
        <v>1570</v>
      </c>
      <c r="C84" s="215">
        <v>73</v>
      </c>
      <c r="D84" s="120"/>
    </row>
    <row r="85" spans="1:4" x14ac:dyDescent="0.2">
      <c r="A85" s="167"/>
      <c r="B85" s="164" t="s">
        <v>1571</v>
      </c>
      <c r="C85" s="215">
        <v>74</v>
      </c>
      <c r="D85" s="120"/>
    </row>
    <row r="86" spans="1:4" x14ac:dyDescent="0.2">
      <c r="A86" s="166"/>
      <c r="B86" s="164" t="s">
        <v>1572</v>
      </c>
      <c r="C86" s="215">
        <v>75</v>
      </c>
      <c r="D86" s="120"/>
    </row>
    <row r="87" spans="1:4" x14ac:dyDescent="0.2">
      <c r="A87" s="161" t="s">
        <v>3851</v>
      </c>
      <c r="B87" s="298" t="s">
        <v>740</v>
      </c>
      <c r="C87" s="215">
        <v>76</v>
      </c>
      <c r="D87" s="119">
        <f>SUM(D88:D91)</f>
        <v>0</v>
      </c>
    </row>
    <row r="88" spans="1:4" x14ac:dyDescent="0.2">
      <c r="A88" s="161"/>
      <c r="B88" s="164" t="s">
        <v>1569</v>
      </c>
      <c r="C88" s="215">
        <v>77</v>
      </c>
      <c r="D88" s="120"/>
    </row>
    <row r="89" spans="1:4" x14ac:dyDescent="0.2">
      <c r="A89" s="161"/>
      <c r="B89" s="164" t="s">
        <v>1570</v>
      </c>
      <c r="C89" s="215">
        <v>78</v>
      </c>
      <c r="D89" s="120"/>
    </row>
    <row r="90" spans="1:4" x14ac:dyDescent="0.2">
      <c r="A90" s="161"/>
      <c r="B90" s="164" t="s">
        <v>1571</v>
      </c>
      <c r="C90" s="215">
        <v>79</v>
      </c>
      <c r="D90" s="120"/>
    </row>
    <row r="91" spans="1:4" x14ac:dyDescent="0.2">
      <c r="A91" s="161"/>
      <c r="B91" s="164" t="s">
        <v>1572</v>
      </c>
      <c r="C91" s="215">
        <v>80</v>
      </c>
      <c r="D91" s="120"/>
    </row>
    <row r="92" spans="1:4" x14ac:dyDescent="0.2">
      <c r="A92" s="161" t="s">
        <v>3852</v>
      </c>
      <c r="B92" s="298" t="s">
        <v>741</v>
      </c>
      <c r="C92" s="215">
        <v>81</v>
      </c>
      <c r="D92" s="119">
        <f>SUM(D93:D96)</f>
        <v>0</v>
      </c>
    </row>
    <row r="93" spans="1:4" x14ac:dyDescent="0.2">
      <c r="A93" s="161"/>
      <c r="B93" s="164" t="s">
        <v>1569</v>
      </c>
      <c r="C93" s="215">
        <v>82</v>
      </c>
      <c r="D93" s="120"/>
    </row>
    <row r="94" spans="1:4" x14ac:dyDescent="0.2">
      <c r="A94" s="161"/>
      <c r="B94" s="164" t="s">
        <v>1570</v>
      </c>
      <c r="C94" s="215">
        <v>83</v>
      </c>
      <c r="D94" s="120"/>
    </row>
    <row r="95" spans="1:4" x14ac:dyDescent="0.2">
      <c r="A95" s="161"/>
      <c r="B95" s="164" t="s">
        <v>1571</v>
      </c>
      <c r="C95" s="215">
        <v>84</v>
      </c>
      <c r="D95" s="120"/>
    </row>
    <row r="96" spans="1:4" x14ac:dyDescent="0.2">
      <c r="A96" s="161"/>
      <c r="B96" s="164" t="s">
        <v>1572</v>
      </c>
      <c r="C96" s="215">
        <v>85</v>
      </c>
      <c r="D96" s="120"/>
    </row>
    <row r="97" spans="1:4" x14ac:dyDescent="0.2">
      <c r="A97" s="161" t="s">
        <v>650</v>
      </c>
      <c r="B97" s="162" t="s">
        <v>743</v>
      </c>
      <c r="C97" s="215">
        <v>86</v>
      </c>
      <c r="D97" s="119">
        <f>SUM(D98:D101)</f>
        <v>0</v>
      </c>
    </row>
    <row r="98" spans="1:4" x14ac:dyDescent="0.2">
      <c r="A98" s="161"/>
      <c r="B98" s="164" t="s">
        <v>1569</v>
      </c>
      <c r="C98" s="215">
        <v>87</v>
      </c>
      <c r="D98" s="120"/>
    </row>
    <row r="99" spans="1:4" x14ac:dyDescent="0.2">
      <c r="A99" s="161"/>
      <c r="B99" s="164" t="s">
        <v>1570</v>
      </c>
      <c r="C99" s="215">
        <v>88</v>
      </c>
      <c r="D99" s="120"/>
    </row>
    <row r="100" spans="1:4" x14ac:dyDescent="0.2">
      <c r="A100" s="167"/>
      <c r="B100" s="164" t="s">
        <v>1571</v>
      </c>
      <c r="C100" s="215">
        <v>89</v>
      </c>
      <c r="D100" s="120"/>
    </row>
    <row r="101" spans="1:4" x14ac:dyDescent="0.2">
      <c r="A101" s="167"/>
      <c r="B101" s="164" t="s">
        <v>1572</v>
      </c>
      <c r="C101" s="215">
        <v>90</v>
      </c>
      <c r="D101" s="120"/>
    </row>
    <row r="102" spans="1:4" x14ac:dyDescent="0.2">
      <c r="A102" s="166" t="s">
        <v>3390</v>
      </c>
      <c r="B102" s="162" t="s">
        <v>744</v>
      </c>
      <c r="C102" s="215">
        <v>91</v>
      </c>
      <c r="D102" s="119">
        <f>SUM(D103:D107)</f>
        <v>0</v>
      </c>
    </row>
    <row r="103" spans="1:4" x14ac:dyDescent="0.2">
      <c r="A103" s="163">
        <v>251.25299999999999</v>
      </c>
      <c r="B103" s="164" t="s">
        <v>1568</v>
      </c>
      <c r="C103" s="215">
        <v>92</v>
      </c>
      <c r="D103" s="120"/>
    </row>
    <row r="104" spans="1:4" x14ac:dyDescent="0.2">
      <c r="A104" s="163" t="s">
        <v>3391</v>
      </c>
      <c r="B104" s="164" t="s">
        <v>2237</v>
      </c>
      <c r="C104" s="215">
        <v>93</v>
      </c>
      <c r="D104" s="120"/>
    </row>
    <row r="105" spans="1:4" x14ac:dyDescent="0.2">
      <c r="A105" s="163" t="s">
        <v>3392</v>
      </c>
      <c r="B105" s="164" t="s">
        <v>2241</v>
      </c>
      <c r="C105" s="215">
        <v>94</v>
      </c>
      <c r="D105" s="120"/>
    </row>
    <row r="106" spans="1:4" ht="19.5" x14ac:dyDescent="0.2">
      <c r="A106" s="165" t="s">
        <v>2578</v>
      </c>
      <c r="B106" s="164" t="s">
        <v>1567</v>
      </c>
      <c r="C106" s="215">
        <v>95</v>
      </c>
      <c r="D106" s="120"/>
    </row>
    <row r="107" spans="1:4" ht="19.5" x14ac:dyDescent="0.2">
      <c r="A107" s="165" t="s">
        <v>3251</v>
      </c>
      <c r="B107" s="164" t="s">
        <v>1566</v>
      </c>
      <c r="C107" s="215">
        <v>96</v>
      </c>
      <c r="D107" s="120"/>
    </row>
    <row r="108" spans="1:4" x14ac:dyDescent="0.2">
      <c r="A108" s="161"/>
      <c r="B108" s="162" t="s">
        <v>745</v>
      </c>
      <c r="C108" s="215">
        <v>97</v>
      </c>
      <c r="D108" s="119">
        <f>SUM(D109:D112)</f>
        <v>1041711</v>
      </c>
    </row>
    <row r="109" spans="1:4" x14ac:dyDescent="0.2">
      <c r="A109" s="163"/>
      <c r="B109" s="170" t="s">
        <v>4016</v>
      </c>
      <c r="C109" s="215">
        <v>98</v>
      </c>
      <c r="D109" s="120"/>
    </row>
    <row r="110" spans="1:4" x14ac:dyDescent="0.2">
      <c r="A110" s="163" t="s">
        <v>3840</v>
      </c>
      <c r="B110" s="170" t="s">
        <v>2134</v>
      </c>
      <c r="C110" s="215">
        <v>99</v>
      </c>
      <c r="D110" s="120">
        <v>139828</v>
      </c>
    </row>
    <row r="111" spans="1:4" x14ac:dyDescent="0.2">
      <c r="A111" s="163" t="s">
        <v>650</v>
      </c>
      <c r="B111" s="170" t="s">
        <v>651</v>
      </c>
      <c r="C111" s="215">
        <v>100</v>
      </c>
      <c r="D111" s="120">
        <v>901883</v>
      </c>
    </row>
    <row r="112" spans="1:4" x14ac:dyDescent="0.2">
      <c r="A112" s="171" t="s">
        <v>3390</v>
      </c>
      <c r="B112" s="172" t="s">
        <v>1573</v>
      </c>
      <c r="C112" s="157">
        <v>101</v>
      </c>
      <c r="D112" s="121"/>
    </row>
    <row r="113" spans="1:4" x14ac:dyDescent="0.2">
      <c r="A113" s="299" t="s">
        <v>742</v>
      </c>
      <c r="B113" s="216"/>
      <c r="C113" s="176"/>
      <c r="D113" s="177"/>
    </row>
    <row r="114" spans="1:4" x14ac:dyDescent="0.2">
      <c r="C114" s="176"/>
      <c r="D114" s="177"/>
    </row>
    <row r="116" spans="1:4" x14ac:dyDescent="0.2">
      <c r="A116" s="178" t="s">
        <v>3427</v>
      </c>
      <c r="B116" s="178"/>
      <c r="C116" s="452" t="s">
        <v>2209</v>
      </c>
      <c r="D116" s="452"/>
    </row>
    <row r="117" spans="1:4" x14ac:dyDescent="0.2">
      <c r="A117" s="178" t="str">
        <f>IF(RefStr!H25&lt;&gt;"", "Osoba za kontaktiranje: " &amp; RefStr!H25,"Osoba za kontaktiranje: _________________________________________")</f>
        <v>Osoba za kontaktiranje: Željka Bosorić Baruškin</v>
      </c>
      <c r="B117" s="178"/>
      <c r="C117" s="180"/>
      <c r="D117" s="180"/>
    </row>
    <row r="118" spans="1:4" x14ac:dyDescent="0.2">
      <c r="A118" s="178" t="str">
        <f>IF(RefStr!H27="","Telefon za kontakt: _________________","Telefon za kontakt: " &amp; RefStr!H27)</f>
        <v>Telefon za kontakt: 048210007</v>
      </c>
      <c r="B118" s="178"/>
      <c r="C118" s="179"/>
      <c r="D118" s="179"/>
    </row>
    <row r="119" spans="1:4" x14ac:dyDescent="0.2">
      <c r="A119" s="178" t="str">
        <f>IF(RefStr!H33="","Odgovorna osoba: _____________________________","Odgovorna osoba: " &amp; RefStr!H33)</f>
        <v>Odgovorna osoba: Vjekoslav Maletić</v>
      </c>
      <c r="B119" s="178"/>
      <c r="C119" s="178"/>
      <c r="D119" s="178"/>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61"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7"/>
  <sheetViews>
    <sheetView showGridLines="0" showRowColHeaders="0" workbookViewId="0">
      <pane ySplit="3" topLeftCell="A217" activePane="bottomLeft" state="frozen"/>
      <selection pane="bottomLeft"/>
    </sheetView>
  </sheetViews>
  <sheetFormatPr defaultColWidth="0" defaultRowHeight="12.75" zeroHeight="1" x14ac:dyDescent="0.2"/>
  <cols>
    <col min="1" max="1" width="4.42578125" style="343" customWidth="1"/>
    <col min="2" max="2" width="9.28515625" style="353" customWidth="1"/>
    <col min="3" max="3" width="94.7109375" style="354" customWidth="1"/>
    <col min="4" max="4" width="1.140625" style="322" customWidth="1"/>
    <col min="5" max="6" width="10.7109375" style="323" hidden="1" customWidth="1"/>
    <col min="7" max="7" width="10.7109375" style="324" hidden="1" customWidth="1"/>
    <col min="8" max="8" width="9.140625" style="324" hidden="1" customWidth="1"/>
    <col min="9" max="13" width="9.140625" style="323" hidden="1" customWidth="1"/>
    <col min="14" max="14" width="12.5703125" style="323" hidden="1" customWidth="1"/>
    <col min="15" max="15" width="10.42578125" style="323" hidden="1" customWidth="1"/>
    <col min="16" max="17" width="9.140625" style="323" hidden="1" customWidth="1"/>
    <col min="18" max="16384" width="9.140625" style="325" hidden="1"/>
  </cols>
  <sheetData>
    <row r="1" spans="1:21" hidden="1" x14ac:dyDescent="0.2">
      <c r="A1" s="319" t="s">
        <v>1339</v>
      </c>
      <c r="B1" s="320" t="s">
        <v>1340</v>
      </c>
      <c r="C1" s="321" t="s">
        <v>2204</v>
      </c>
      <c r="E1" s="323" t="s">
        <v>2312</v>
      </c>
    </row>
    <row r="2" spans="1:21" ht="15" customHeight="1" x14ac:dyDescent="0.2">
      <c r="A2" s="483" t="s">
        <v>3609</v>
      </c>
      <c r="B2" s="483"/>
      <c r="C2" s="483"/>
      <c r="D2" s="322" t="s">
        <v>1780</v>
      </c>
      <c r="E2" s="326" t="s">
        <v>3797</v>
      </c>
      <c r="F2" s="326" t="s">
        <v>3798</v>
      </c>
      <c r="G2" s="327" t="s">
        <v>3935</v>
      </c>
      <c r="H2" s="327" t="s">
        <v>1870</v>
      </c>
      <c r="I2" s="327" t="s">
        <v>3936</v>
      </c>
      <c r="J2" s="327" t="s">
        <v>131</v>
      </c>
      <c r="K2" s="327" t="s">
        <v>3937</v>
      </c>
      <c r="L2" s="327" t="s">
        <v>3938</v>
      </c>
      <c r="M2" s="327" t="s">
        <v>3939</v>
      </c>
      <c r="N2" s="327" t="s">
        <v>3940</v>
      </c>
      <c r="O2" s="327" t="s">
        <v>3000</v>
      </c>
      <c r="P2" s="327" t="s">
        <v>86</v>
      </c>
      <c r="Q2" s="327" t="s">
        <v>993</v>
      </c>
    </row>
    <row r="3" spans="1:21" ht="29.25" customHeight="1" x14ac:dyDescent="0.2">
      <c r="A3" s="328" t="s">
        <v>1095</v>
      </c>
      <c r="B3" s="329" t="s">
        <v>2205</v>
      </c>
      <c r="C3" s="330" t="s">
        <v>2206</v>
      </c>
      <c r="E3" s="326">
        <f>E4+E18+E23+E275+E294+E298+E302</f>
        <v>0</v>
      </c>
      <c r="F3" s="326">
        <f>F4+F18+F23+F275+F294+F298+F302</f>
        <v>8</v>
      </c>
      <c r="G3" s="327">
        <f>IF(RefStr!F6&lt;&gt;"",INT(VALUE(MID(RefStr!F6,1,4))),0)</f>
        <v>2021</v>
      </c>
      <c r="H3" s="327">
        <f>IF(RefStr!F6&lt;&gt;"",INT(VALUE(MID(RefStr!F6,6,2))),0)</f>
        <v>9</v>
      </c>
      <c r="I3" s="327">
        <f>RefStr!B16</f>
        <v>22</v>
      </c>
      <c r="J3" s="331" t="str">
        <f>RefStr!B25</f>
        <v>DA</v>
      </c>
      <c r="K3" s="327" t="str">
        <f>RefStr!B29</f>
        <v>NE</v>
      </c>
      <c r="L3" s="327" t="str">
        <f>RefStr!B31</f>
        <v>NE</v>
      </c>
      <c r="M3" s="327" t="str">
        <f>RefStr!B27</f>
        <v>NE</v>
      </c>
      <c r="N3" s="327" t="str">
        <f>RefStr!B33</f>
        <v>DA</v>
      </c>
      <c r="O3" s="327">
        <f>RefStr!B6</f>
        <v>27861</v>
      </c>
      <c r="P3" s="327">
        <f>RefStr!B20</f>
        <v>0</v>
      </c>
      <c r="Q3" s="331" t="str">
        <f>RefStr!I8</f>
        <v>NE</v>
      </c>
    </row>
    <row r="4" spans="1:21" ht="20.100000000000001" customHeight="1" x14ac:dyDescent="0.2">
      <c r="A4" s="484" t="s">
        <v>543</v>
      </c>
      <c r="B4" s="485"/>
      <c r="C4" s="486"/>
      <c r="E4" s="325">
        <f>SUM(E5:E17)</f>
        <v>0</v>
      </c>
      <c r="F4" s="325">
        <f>SUM(F5:F17)</f>
        <v>0</v>
      </c>
    </row>
    <row r="5" spans="1:21" ht="33.75" customHeight="1" x14ac:dyDescent="0.2">
      <c r="A5" s="313">
        <v>1</v>
      </c>
      <c r="B5" s="314" t="str">
        <f>IF(E5=1,"Pogreška",IF(F5=1,"Provjera","O.K."))</f>
        <v>O.K.</v>
      </c>
      <c r="C5" s="315" t="s">
        <v>3320</v>
      </c>
      <c r="E5" s="325">
        <f>MAX(G5:L5)</f>
        <v>0</v>
      </c>
      <c r="F5" s="325">
        <v>0</v>
      </c>
      <c r="G5" s="324">
        <f>IF(AND(OR($I$3=11,$I$3=12),P3=0),1,0)</f>
        <v>0</v>
      </c>
      <c r="H5" s="324">
        <f>IF(AND($I$3&lt;&gt;11,$I$3&lt;&gt;12,P3&lt;&gt;0),1,0)</f>
        <v>0</v>
      </c>
    </row>
    <row r="6" spans="1:21" ht="45.75" customHeight="1" x14ac:dyDescent="0.2">
      <c r="A6" s="313">
        <f t="shared" ref="A6:A17" si="0">1+A5</f>
        <v>2</v>
      </c>
      <c r="B6" s="314" t="str">
        <f>IF(E6=1,"Pogreška",IF(F6=1,"Provjera","O.K."))</f>
        <v>O.K.</v>
      </c>
      <c r="C6" s="316" t="s">
        <v>756</v>
      </c>
      <c r="E6" s="325">
        <f>MAX(G6:L6)</f>
        <v>0</v>
      </c>
      <c r="F6" s="325">
        <v>0</v>
      </c>
      <c r="G6" s="324">
        <f>IF(AND(OR($H$3=3,$H$3=9),$I$3=23),1,0)</f>
        <v>0</v>
      </c>
      <c r="H6" s="324">
        <f>IF(AND(OR($H$3=3,$H$3=9),$I$3=12,OR($J$3&lt;&gt;"NE",$K$3&lt;&gt;"NE",$L$3&lt;&gt;"NE",M3&lt;&gt;"NE",N3&lt;&gt;"DA")),1,0)</f>
        <v>0</v>
      </c>
      <c r="T6" s="326">
        <f>IF(LOOKUP($O$3,T7:T52,T7:T52)=$O$3,1,0)</f>
        <v>0</v>
      </c>
      <c r="U6" s="326">
        <f>IF(LOOKUP($O$3,U7:U279,U7:U279)=$O$3,1,0)</f>
        <v>0</v>
      </c>
    </row>
    <row r="7" spans="1:21" ht="98.25" customHeight="1" x14ac:dyDescent="0.2">
      <c r="A7" s="313">
        <f>1+A6</f>
        <v>3</v>
      </c>
      <c r="B7" s="314" t="str">
        <f>IF(E7=1,"Pogreška",IF(F7=1,"Provjera","O.K."))</f>
        <v>O.K.</v>
      </c>
      <c r="C7" s="317" t="s">
        <v>784</v>
      </c>
      <c r="E7" s="325">
        <f>MAX(G7:K7)</f>
        <v>0</v>
      </c>
      <c r="F7" s="325">
        <f>MAX(L7:Q7)</f>
        <v>0</v>
      </c>
      <c r="G7" s="324">
        <f>IF(AND($Q$3&lt;&gt;"NE",$Q$3&lt;&gt;"DA"),1,0)</f>
        <v>0</v>
      </c>
      <c r="H7" s="324">
        <f>IF(AND($Q$3="DA",$I$3&lt;&gt;11,$I$3&lt;&gt;22),1,0)</f>
        <v>0</v>
      </c>
      <c r="I7" s="323">
        <f>IF(AND($Q$3="DA",$I$3=22,OR(H3=3,H3=9)),1,0)</f>
        <v>0</v>
      </c>
      <c r="J7" s="323">
        <f>IF(AND($Q$3="DA",U6=0),1,0)</f>
        <v>0</v>
      </c>
      <c r="L7" s="323">
        <f>IF($Q$3="DA",1,0)</f>
        <v>0</v>
      </c>
      <c r="T7" s="325">
        <v>0</v>
      </c>
      <c r="U7" s="325">
        <v>0</v>
      </c>
    </row>
    <row r="8" spans="1:21" ht="60.75" customHeight="1" x14ac:dyDescent="0.2">
      <c r="A8" s="313">
        <f t="shared" si="0"/>
        <v>4</v>
      </c>
      <c r="B8" s="314" t="str">
        <f>IF(E8=1,"Pogreška",IF(F8=1,"Provjera","O.K."))</f>
        <v>O.K.</v>
      </c>
      <c r="C8" s="318" t="s">
        <v>37</v>
      </c>
      <c r="E8" s="325">
        <f>MAX(G8)</f>
        <v>0</v>
      </c>
      <c r="F8" s="323">
        <v>0</v>
      </c>
      <c r="G8" s="324">
        <f>IF(AND(Skriveni!L28&lt;&gt;0,OR(RefStr!B6=0,RefStr!B8=0,RefStr!F6="",LEN(RefStr!B10)&lt;3,RefStr!B12=0,LEN(RefStr!C12)&lt;2,LEN(RefStr!B14)&lt;5,LEN(RefStr!H29)&lt;5,RefStr!B16=0,RefStr!B18="",RefStr!B20="",RefStr!B22=0,RefStr!K10="",RefStr!K12="",LEN(RefStr!K14)&lt;6,LEN(RefStr!K14)&gt;11,LEN(RefStr!H33)&lt;5)),1,0)</f>
        <v>0</v>
      </c>
      <c r="I8" s="332" t="s">
        <v>3355</v>
      </c>
      <c r="J8" s="332" t="s">
        <v>3356</v>
      </c>
      <c r="K8" s="332" t="s">
        <v>3357</v>
      </c>
      <c r="O8" s="325"/>
      <c r="P8" s="325"/>
      <c r="Q8" s="325"/>
      <c r="T8" s="325">
        <v>51</v>
      </c>
      <c r="U8" s="325">
        <v>19</v>
      </c>
    </row>
    <row r="9" spans="1:21" ht="75.75" customHeight="1" x14ac:dyDescent="0.2">
      <c r="A9" s="313">
        <f t="shared" si="0"/>
        <v>5</v>
      </c>
      <c r="B9" s="314" t="str">
        <f t="shared" ref="B9:B79" si="1">IF(E9=1,"Pogreška",IF(F9=1,"Provjera","O.K."))</f>
        <v>O.K.</v>
      </c>
      <c r="C9" s="318" t="s">
        <v>785</v>
      </c>
      <c r="E9" s="325">
        <f>MAX(G9:K9)</f>
        <v>0</v>
      </c>
      <c r="F9" s="323">
        <v>0</v>
      </c>
      <c r="I9" s="333">
        <f>IF(AND($I$3=11,OR($H$3=3,$H$3=9),OR($J$3&lt;&gt;"DA",$K$3&lt;&gt;"NE",$L$3&lt;&gt;"NE",$M$3&lt;&gt;"NE",$N$3&lt;&gt;"DA")),1,0)</f>
        <v>0</v>
      </c>
      <c r="J9" s="333">
        <f>IF(AND($I$3=11,$H$3=6,OR($J$3&lt;&gt;"DA",$K$3&lt;&gt;"NE",$L$3&lt;&gt;"NE",$M$3&lt;&gt;"NE",$N$3&lt;&gt;"DA")),1,0)</f>
        <v>0</v>
      </c>
      <c r="K9" s="326">
        <f>IF(AND($I$3=11,$H$3=12,OR($J$3&lt;&gt;"DA",$K$3&lt;&gt;"DA",$L$3&lt;&gt;"DA",$M$3&lt;&gt;"DA",$N$3&lt;&gt;"DA")),1,0)</f>
        <v>0</v>
      </c>
      <c r="O9" s="325"/>
      <c r="P9" s="325"/>
      <c r="Q9" s="325"/>
      <c r="T9" s="325">
        <v>721</v>
      </c>
      <c r="U9" s="325">
        <v>35</v>
      </c>
    </row>
    <row r="10" spans="1:21" ht="87" customHeight="1" x14ac:dyDescent="0.2">
      <c r="A10" s="313">
        <f t="shared" si="0"/>
        <v>6</v>
      </c>
      <c r="B10" s="314" t="str">
        <f t="shared" si="1"/>
        <v>O.K.</v>
      </c>
      <c r="C10" s="318" t="s">
        <v>786</v>
      </c>
      <c r="E10" s="325">
        <f>MAX(G10:K10)</f>
        <v>0</v>
      </c>
      <c r="F10" s="323">
        <v>0</v>
      </c>
      <c r="I10" s="333">
        <f>IF(AND($I$3=12,OR($H$3=3,$H$3=9),OR($J$3&lt;&gt;"NE",$K$3&lt;&gt;"NE",$L$3&lt;&gt;"NE",$M$3&lt;&gt;"NE",$N$3&lt;&gt;"DA")),1,0)</f>
        <v>0</v>
      </c>
      <c r="J10" s="333">
        <f>IF(AND($I$3=12,$H$3=6,OR($J$3&lt;&gt;"DA",$K$3&lt;&gt;"NE",$L$3&lt;&gt;"NE",$M$3&lt;&gt;"NE",$N$3&lt;&gt;"DA")),1,0)</f>
        <v>0</v>
      </c>
      <c r="K10" s="326">
        <f>IF(AND($I$3=12,$H$3=12,OR($J$3&lt;&gt;"DA",$K$3&lt;&gt;"DA",$L$3&lt;&gt;"DA",M3&lt;&gt;"DA",N3&lt;&gt;"DA")),1,0)</f>
        <v>0</v>
      </c>
      <c r="O10" s="325"/>
      <c r="P10" s="325"/>
      <c r="Q10" s="325"/>
      <c r="T10" s="325">
        <v>756</v>
      </c>
      <c r="U10" s="325">
        <v>174</v>
      </c>
    </row>
    <row r="11" spans="1:21" ht="75" customHeight="1" x14ac:dyDescent="0.2">
      <c r="A11" s="313">
        <f t="shared" si="0"/>
        <v>7</v>
      </c>
      <c r="B11" s="314" t="str">
        <f t="shared" si="1"/>
        <v>O.K.</v>
      </c>
      <c r="C11" s="318" t="s">
        <v>787</v>
      </c>
      <c r="E11" s="325">
        <f t="shared" ref="E11:E17" si="2">MAX(G11:K11)</f>
        <v>0</v>
      </c>
      <c r="F11" s="323">
        <v>0</v>
      </c>
      <c r="I11" s="326">
        <f>IF(AND($I$3=13,OR($H$3=3,$H$3=9),OR($J$3&lt;&gt;"DA",$K$3&lt;&gt;"NE",$L$3&lt;&gt;"NE",$M$3&lt;&gt;"NE",$N$3&lt;&gt;"NE")),1,0)</f>
        <v>0</v>
      </c>
      <c r="J11" s="326">
        <f>IF(AND($I$3=13,$H$3=6,OR($J$3&lt;&gt;"DA",$K$3&lt;&gt;"NE",$L$3&lt;&gt;"NE",$M$3&lt;&gt;"NE",$N$3&lt;&gt;"NE")),1,0)</f>
        <v>0</v>
      </c>
      <c r="K11" s="326">
        <f>IF(AND($I$3=13,$H$3=12,OR($J$3&lt;&gt;"DA",$K$3&lt;&gt;"DA",$L$3&lt;&gt;"DA",$M$3&lt;&gt;"DA",$N$3&lt;&gt;"NE")),1,0)</f>
        <v>0</v>
      </c>
      <c r="O11" s="325"/>
      <c r="P11" s="325"/>
      <c r="Q11" s="325"/>
      <c r="T11" s="325">
        <v>1222</v>
      </c>
      <c r="U11" s="325">
        <v>713</v>
      </c>
    </row>
    <row r="12" spans="1:21" ht="88.5" customHeight="1" x14ac:dyDescent="0.2">
      <c r="A12" s="313">
        <f t="shared" si="0"/>
        <v>8</v>
      </c>
      <c r="B12" s="314" t="str">
        <f t="shared" si="1"/>
        <v>O.K.</v>
      </c>
      <c r="C12" s="318" t="s">
        <v>2022</v>
      </c>
      <c r="E12" s="325">
        <f t="shared" si="2"/>
        <v>0</v>
      </c>
      <c r="F12" s="323">
        <v>0</v>
      </c>
      <c r="I12" s="326">
        <f>IF(AND($I$3=21,OR($H$3=3,$H$3=9),OR($J$3&lt;&gt;"DA",$K$3&lt;&gt;"NE",$L$3&lt;&gt;"NE",$M$3&lt;&gt;"NE",$N$3&lt;&gt;"NE")),1,0)</f>
        <v>0</v>
      </c>
      <c r="J12" s="326">
        <f>IF(AND($I$3=21,$H$3=6,OR($J$3&lt;&gt;"DA",$K$3&lt;&gt;"NE",$L$3&lt;&gt;"NE",$M$3&lt;&gt;"NE",$N$3&lt;&gt;"DA")),1,0)</f>
        <v>0</v>
      </c>
      <c r="K12" s="326">
        <f>IF(AND($I$3=21,$H$3=12,OR($J$3&lt;&gt;"DA",$K$3&lt;&gt;"DA",$L$3&lt;&gt;"DA",$M$3&lt;&gt;"DA",$N$3&lt;&gt;"DA")),1,0)</f>
        <v>0</v>
      </c>
      <c r="O12" s="325"/>
      <c r="P12" s="325"/>
      <c r="Q12" s="325"/>
      <c r="T12" s="325">
        <v>3148</v>
      </c>
      <c r="U12" s="325">
        <v>721</v>
      </c>
    </row>
    <row r="13" spans="1:21" ht="75.75" customHeight="1" x14ac:dyDescent="0.2">
      <c r="A13" s="313">
        <f t="shared" si="0"/>
        <v>9</v>
      </c>
      <c r="B13" s="314" t="str">
        <f t="shared" si="1"/>
        <v>O.K.</v>
      </c>
      <c r="C13" s="318" t="s">
        <v>2023</v>
      </c>
      <c r="E13" s="325">
        <f t="shared" si="2"/>
        <v>0</v>
      </c>
      <c r="F13" s="323">
        <v>0</v>
      </c>
      <c r="I13" s="326">
        <f>IF(AND($I$3=22,OR($H$3=3,$H$3=9),OR($J$3&lt;&gt;"DA",$K$3&lt;&gt;"NE",$L$3&lt;&gt;"NE",$M$3&lt;&gt;"NE",$N$3&lt;&gt;"DA")),1,0)</f>
        <v>0</v>
      </c>
      <c r="J13" s="326">
        <f>IF(AND($I$3=22,$H$3=6,OR($J$3&lt;&gt;"DA",$K$3&lt;&gt;"NE",$L$3&lt;&gt;"NE",$M$3&lt;&gt;"NE",$N$3&lt;&gt;"DA")),1,0)</f>
        <v>0</v>
      </c>
      <c r="K13" s="326">
        <f>IF(AND($I$3=22,$H$3=12,OR($J$3&lt;&gt;"DA",$K$3&lt;&gt;"DA",$L$3&lt;&gt;"DA",$M$3&lt;&gt;"DA",$N$3&lt;&gt;"DA")),1,0)</f>
        <v>0</v>
      </c>
      <c r="O13" s="325"/>
      <c r="P13" s="325"/>
      <c r="Q13" s="325"/>
      <c r="T13" s="325">
        <v>3156</v>
      </c>
      <c r="U13" s="325">
        <v>6031</v>
      </c>
    </row>
    <row r="14" spans="1:21" ht="87.75" customHeight="1" x14ac:dyDescent="0.2">
      <c r="A14" s="313">
        <f t="shared" si="0"/>
        <v>10</v>
      </c>
      <c r="B14" s="314" t="str">
        <f t="shared" si="1"/>
        <v>O.K.</v>
      </c>
      <c r="C14" s="318" t="s">
        <v>2024</v>
      </c>
      <c r="E14" s="325">
        <f t="shared" si="2"/>
        <v>0</v>
      </c>
      <c r="F14" s="323">
        <v>0</v>
      </c>
      <c r="I14" s="326">
        <f>IF(AND($I$3=23,OR($H$3=3,$H$3=9)),1,0)</f>
        <v>0</v>
      </c>
      <c r="J14" s="326">
        <f>IF(AND($I$3=23,$H$3=6,OR($J$3&lt;&gt;"DA",$K$3&lt;&gt;"NE",$L$3&lt;&gt;"NE",$M$3&lt;&gt;"NE",$N$3&lt;&gt;"DA")),1,0)</f>
        <v>0</v>
      </c>
      <c r="K14" s="326">
        <f>IF(AND($I$3=23,$H$3=12,OR($J$3&lt;&gt;"DA",$K$3&lt;&gt;"DA",$L$3&lt;&gt;"DA",$M$3&lt;&gt;"DA",$N$3&lt;&gt;"DA")),1,0)</f>
        <v>0</v>
      </c>
      <c r="O14" s="325"/>
      <c r="P14" s="325"/>
      <c r="Q14" s="325"/>
      <c r="T14" s="325">
        <v>3164</v>
      </c>
      <c r="U14" s="325">
        <v>6040</v>
      </c>
    </row>
    <row r="15" spans="1:21" ht="88.5" customHeight="1" x14ac:dyDescent="0.2">
      <c r="A15" s="313">
        <f t="shared" si="0"/>
        <v>11</v>
      </c>
      <c r="B15" s="314" t="str">
        <f t="shared" si="1"/>
        <v>O.K.</v>
      </c>
      <c r="C15" s="318" t="s">
        <v>2025</v>
      </c>
      <c r="E15" s="325">
        <f t="shared" si="2"/>
        <v>0</v>
      </c>
      <c r="F15" s="323">
        <v>0</v>
      </c>
      <c r="I15" s="326">
        <f>IF(AND($I$3=31,OR($H$3=3,$H$3=9),OR($J$3&lt;&gt;"DA",$K$3&lt;&gt;"NE",$L$3&lt;&gt;"NE",$M$3&lt;&gt;"NE",$N$3&lt;&gt;"NE")),1,0)</f>
        <v>0</v>
      </c>
      <c r="J15" s="326">
        <f>IF(AND($I$3=31,$H$3=6,OR($J$3&lt;&gt;"DA",$K$3&lt;&gt;"NE",$L$3&lt;&gt;"NE",$M$3&lt;&gt;"NE",$N$3&lt;&gt;"DA")),1,0)</f>
        <v>0</v>
      </c>
      <c r="K15" s="326">
        <f>IF(AND($I$3=31,$H$3=12,OR($J$3&lt;&gt;"DA",$K$3&lt;&gt;"DA",$L$3&lt;&gt;"DA",$M$3&lt;&gt;"DA",$N$3&lt;&gt;"DA")),1,0)</f>
        <v>0</v>
      </c>
      <c r="M15" s="334"/>
      <c r="O15" s="325"/>
      <c r="P15" s="325"/>
      <c r="Q15" s="325"/>
      <c r="T15" s="325">
        <v>3172</v>
      </c>
      <c r="U15" s="325">
        <v>6099</v>
      </c>
    </row>
    <row r="16" spans="1:21" ht="75.75" customHeight="1" x14ac:dyDescent="0.2">
      <c r="A16" s="313">
        <f t="shared" si="0"/>
        <v>12</v>
      </c>
      <c r="B16" s="314" t="str">
        <f t="shared" si="1"/>
        <v>O.K.</v>
      </c>
      <c r="C16" s="318" t="s">
        <v>2026</v>
      </c>
      <c r="E16" s="325">
        <f t="shared" si="2"/>
        <v>0</v>
      </c>
      <c r="F16" s="323">
        <v>0</v>
      </c>
      <c r="I16" s="326">
        <f>IF(AND($I$3=41,OR($H$3=3,$H$3=9),OR($J$3&lt;&gt;"DA",$K$3&lt;&gt;"NE",$L$3&lt;&gt;"NE",$M$3&lt;&gt;"NE",$N$3&lt;&gt;"DA")),1,0)</f>
        <v>0</v>
      </c>
      <c r="J16" s="326">
        <f>IF(AND($I$3=41,$H$3=6,OR($J$3&lt;&gt;"DA",$K$3&lt;&gt;"NE",$L$3&lt;&gt;"NE",$M$3&lt;&gt;"NE",$N$3&lt;&gt;"DA")),1,0)</f>
        <v>0</v>
      </c>
      <c r="K16" s="326">
        <f>IF(AND($I$3=41,$H$3=12,OR($J$3&lt;&gt;"DA",$K$3&lt;&gt;"DA",$L$3&lt;&gt;"DA",$M$3&lt;&gt;"DA",$N$3&lt;&gt;"DA")),1,0)</f>
        <v>0</v>
      </c>
      <c r="N16" s="325"/>
      <c r="O16" s="325"/>
      <c r="P16" s="325"/>
      <c r="Q16" s="325"/>
      <c r="T16" s="325">
        <v>3197</v>
      </c>
      <c r="U16" s="325">
        <v>6138</v>
      </c>
    </row>
    <row r="17" spans="1:21" ht="81.75" customHeight="1" x14ac:dyDescent="0.2">
      <c r="A17" s="313">
        <f t="shared" si="0"/>
        <v>13</v>
      </c>
      <c r="B17" s="314" t="str">
        <f t="shared" si="1"/>
        <v>O.K.</v>
      </c>
      <c r="C17" s="318" t="s">
        <v>51</v>
      </c>
      <c r="E17" s="325">
        <f t="shared" si="2"/>
        <v>0</v>
      </c>
      <c r="F17" s="323">
        <v>0</v>
      </c>
      <c r="I17" s="326">
        <f>IF(AND($I$3=42,OR($H$3=3,$H$3=9),OR($J$3&lt;&gt;"DA",$K$3&lt;&gt;"NE",$L$3&lt;&gt;"NE",$M$3&lt;&gt;"NE",$N$3&lt;&gt;"NE")),1,0)</f>
        <v>0</v>
      </c>
      <c r="J17" s="326">
        <f>IF(AND($I$3=42,$H$3=6,OR($J$3&lt;&gt;"DA",$K$3&lt;&gt;"NE",$L$3&lt;&gt;"NE",$M$3&lt;&gt;"NE",$N$3&lt;&gt;"DA")),1,0)</f>
        <v>0</v>
      </c>
      <c r="K17" s="326">
        <f>IF(AND($I$3=42,$H$3=12,OR($J$3&lt;&gt;"DA",$K$3&lt;&gt;"DA",$L$3&lt;&gt;"DA",$M$3&lt;&gt;"DA",$N$3&lt;&gt;"DA")),1,0)</f>
        <v>0</v>
      </c>
      <c r="O17" s="325"/>
      <c r="P17" s="325"/>
      <c r="Q17" s="325"/>
      <c r="T17" s="325">
        <v>3201</v>
      </c>
      <c r="U17" s="325">
        <v>20833</v>
      </c>
    </row>
    <row r="18" spans="1:21" ht="20.100000000000001" customHeight="1" x14ac:dyDescent="0.2">
      <c r="A18" s="480" t="s">
        <v>1848</v>
      </c>
      <c r="B18" s="481"/>
      <c r="C18" s="482"/>
      <c r="E18" s="325">
        <f>SUM(E19:E22)</f>
        <v>0</v>
      </c>
      <c r="F18" s="325">
        <f>SUM(F19:F22)</f>
        <v>0</v>
      </c>
      <c r="P18" s="325"/>
      <c r="Q18" s="325"/>
      <c r="T18" s="325">
        <v>3210</v>
      </c>
      <c r="U18" s="325">
        <v>21828</v>
      </c>
    </row>
    <row r="19" spans="1:21" ht="74.25" customHeight="1" x14ac:dyDescent="0.2">
      <c r="A19" s="313">
        <f>1+A17</f>
        <v>14</v>
      </c>
      <c r="B19" s="314" t="str">
        <f t="shared" si="1"/>
        <v>O.K.</v>
      </c>
      <c r="C19" s="317" t="s">
        <v>2282</v>
      </c>
      <c r="E19" s="325">
        <f>MAX(G19:K19)</f>
        <v>0</v>
      </c>
      <c r="F19" s="325">
        <f>MAX(L19:P19)</f>
        <v>0</v>
      </c>
      <c r="G19" s="327">
        <f>IF(AND($J$3="DA",M3="DA",OR($I$3=11,$I$3=21,$I$3=22, $I$3 =31,$I$3=41,$I$3=42), A1=1,ABS(Bil!D176-PRRAS!D653)&gt;1,Q19=1),1,0)</f>
        <v>0</v>
      </c>
      <c r="H19" s="327">
        <f>IF(AND($J$3="DA",M3="DA",OR($I$3=11,$I$3=21,$I$3=22, $I$3 =31,$I$3=41,$I$3=42), A1=1,ABS(Bil!E176-PRRAS!E653)&gt;1),1,0)</f>
        <v>0</v>
      </c>
      <c r="L19" s="326">
        <f>IF(AND($J$3="DA",M3="DA",OR($I$3=11,$I$3=21,$I$3=22, $I$3 =31,$I$3=41,$I$3=42), A1=1,ABS(Bil!D176-PRRAS!D653)&gt;1,Q19=1),1,0)</f>
        <v>0</v>
      </c>
      <c r="M19" s="326">
        <f>IF(AND($J$3="DA",M3="DA",OR($I$3=11,$I$3=21,$I$3=22, $I$3 =31,$I$3=41,$I$3=42), A1=1,ABS(Bil!E176-PRRAS!E653)&gt;1),1,0)</f>
        <v>0</v>
      </c>
      <c r="P19" s="325"/>
      <c r="Q19" s="326">
        <f>IF(MAX(PRRAS!D11:D988) &gt;0,1,0)</f>
        <v>1</v>
      </c>
      <c r="T19" s="325">
        <v>3228</v>
      </c>
      <c r="U19" s="325">
        <v>23987</v>
      </c>
    </row>
    <row r="20" spans="1:21" ht="51" customHeight="1" x14ac:dyDescent="0.2">
      <c r="A20" s="313">
        <f>1+A19</f>
        <v>15</v>
      </c>
      <c r="B20" s="314" t="str">
        <f t="shared" si="1"/>
        <v>O.K.</v>
      </c>
      <c r="C20" s="317" t="s">
        <v>2283</v>
      </c>
      <c r="E20" s="325">
        <f>MAX(G20:K20)</f>
        <v>0</v>
      </c>
      <c r="F20" s="325">
        <f>MAX(L20:P20)</f>
        <v>0</v>
      </c>
      <c r="G20" s="327">
        <f>IF(AND($J$3="DA",M3="DA",OR($I$3=11,$I$3=21,$I$3=22, $I$3 =31,$I$3=41,$I$3=42), A1=1,ABS(Bil!D75-PRRAS!D658)&gt;1,Q19=1),1,0)</f>
        <v>0</v>
      </c>
      <c r="H20" s="327">
        <f>IF(AND($J$3="DA",M3="DA",OR($I$3=11,$I$3=21,$I$3=22, $I$3 =31,$I$3=41,$I$3=42), A1=1,ABS(Bil!E75-PRRAS!E658)&gt;1,Q19=1),1,0)</f>
        <v>0</v>
      </c>
      <c r="I20" s="335"/>
      <c r="L20" s="326">
        <f>IF(AND($J$3="DA",M3="DA",OR($I$3=12,$I$3=13,$I$3=23), A1=1,ABS(Bil!D75-PRRAS!D658)&gt;1,Q19=1),1,0)</f>
        <v>0</v>
      </c>
      <c r="M20" s="326">
        <f>IF(AND($J$3="DA",M3="DA",OR($I$3=12,$I$3=13,$I$3=23), A1=1,ABS(Bil!E75-PRRAS!E658)&gt;1,Q19=1),1,0)</f>
        <v>0</v>
      </c>
      <c r="T20" s="325">
        <v>3236</v>
      </c>
      <c r="U20" s="325">
        <v>24027</v>
      </c>
    </row>
    <row r="21" spans="1:21" ht="72" customHeight="1" x14ac:dyDescent="0.2">
      <c r="A21" s="313">
        <f>1+A20</f>
        <v>16</v>
      </c>
      <c r="B21" s="314" t="str">
        <f t="shared" si="1"/>
        <v>O.K.</v>
      </c>
      <c r="C21" s="317" t="s">
        <v>834</v>
      </c>
      <c r="E21" s="325">
        <f>MAX(G21:L21)</f>
        <v>0</v>
      </c>
      <c r="F21" s="323">
        <v>0</v>
      </c>
      <c r="G21" s="336">
        <f>IF(AND($J$3="DA",$M$3="DA",MAX(PRRAS!D12:D979)&gt;0,Bil!D251&gt;=Bil!D255,OR(ABS(Bil!D251-Bil!D255-PRRAS!D651)&gt;1,PRRAS!D652&lt;&gt;0)),1,0)</f>
        <v>0</v>
      </c>
      <c r="H21" s="337">
        <f>IF(AND($J$3="DA",$M$3="DA",Bil!E251&gt;=Bil!E255,OR(ABS(Bil!E251-Bil!E255-PRRAS!E651)&gt;1,PRRAS!E652&lt;&gt;0)),1,0)</f>
        <v>0</v>
      </c>
      <c r="I21" s="338">
        <f>IF(AND($J$3="DA",$M$3="DA",MAX(PRRAS!D12:D979)&gt;0,Bil!D255&gt;=Bil!D251,OR(ABS(Bil!D255-Bil!D251-PRRAS!D652)&gt;1,PRRAS!D651&lt;&gt;0)),1,0)</f>
        <v>0</v>
      </c>
      <c r="J21" s="338">
        <f>IF(AND($J$3="DA",$M$3="DA",Bil!E255&gt;=Bil!E251,OR(ABS(Bil!E255-Bil!E251-PRRAS!E652)&gt;1,PRRAS!E651&lt;&gt;0)),1,0)</f>
        <v>0</v>
      </c>
      <c r="T21" s="325">
        <v>3244</v>
      </c>
      <c r="U21" s="325">
        <v>24060</v>
      </c>
    </row>
    <row r="22" spans="1:21" ht="46.5" customHeight="1" x14ac:dyDescent="0.2">
      <c r="A22" s="313">
        <f>1+A21</f>
        <v>17</v>
      </c>
      <c r="B22" s="314" t="str">
        <f t="shared" si="1"/>
        <v>O.K.</v>
      </c>
      <c r="C22" s="317" t="s">
        <v>835</v>
      </c>
      <c r="E22" s="325">
        <f>MAX(G22:L22)</f>
        <v>0</v>
      </c>
      <c r="F22" s="323">
        <v>0</v>
      </c>
      <c r="G22" s="336">
        <f>IF(AND(H3=12,$J$3="DA",$K$3="DA",$I$3&lt;&gt;12,$I$3&lt;&gt;23,ABS(PRRAS!D419-PRRAS!D246-RasF!D148)&gt;1),1,0)</f>
        <v>0</v>
      </c>
      <c r="H22" s="339">
        <f>IF(AND(H3=12,$J$3="DA",$K$3="DA",$I$3&lt;&gt;12,$I$3&lt;&gt;23,ABS(PRRAS!E419-PRRAS!E246-RasF!E148)&gt;1),1,0)</f>
        <v>0</v>
      </c>
      <c r="M22" s="325"/>
      <c r="N22" s="325"/>
      <c r="O22" s="325"/>
      <c r="P22" s="325"/>
      <c r="Q22" s="325"/>
      <c r="T22" s="325">
        <v>3252</v>
      </c>
      <c r="U22" s="325">
        <v>24094</v>
      </c>
    </row>
    <row r="23" spans="1:21" ht="20.100000000000001" customHeight="1" x14ac:dyDescent="0.2">
      <c r="A23" s="480" t="s">
        <v>3578</v>
      </c>
      <c r="B23" s="481"/>
      <c r="C23" s="482"/>
      <c r="E23" s="325">
        <f>SUM(E24:E274)</f>
        <v>0</v>
      </c>
      <c r="F23" s="325">
        <f>SUM(F24:F274)</f>
        <v>8</v>
      </c>
      <c r="T23" s="325">
        <v>3277</v>
      </c>
      <c r="U23" s="325">
        <v>25353</v>
      </c>
    </row>
    <row r="24" spans="1:21" ht="48.75" customHeight="1" x14ac:dyDescent="0.2">
      <c r="A24" s="313">
        <f>1+A22</f>
        <v>18</v>
      </c>
      <c r="B24" s="314" t="str">
        <f t="shared" si="1"/>
        <v>O.K.</v>
      </c>
      <c r="C24" s="317" t="s">
        <v>38</v>
      </c>
      <c r="D24" s="340"/>
      <c r="E24" s="325">
        <f>MAX(G24:L24)</f>
        <v>0</v>
      </c>
      <c r="F24" s="325">
        <v>0</v>
      </c>
      <c r="G24" s="324">
        <f>IF(OR(AND(PRRAS!D158=0,MAX(PRRAS!D659:D662)&gt;0),AND(PRRAS!E158=0,MAX(PRRAS!E659:E662)&gt;0)),1,0)</f>
        <v>0</v>
      </c>
      <c r="H24" s="324">
        <f>IF(OR(AND(PRRAS!D158*H3/12&gt;50000,MAX(PRRAS!D659:D662)=0),AND(PRRAS!E158*H3/12&gt;0,MAX(PRRAS!E659:E662)=0)),1,0)</f>
        <v>0</v>
      </c>
      <c r="T24" s="325">
        <v>3285</v>
      </c>
      <c r="U24" s="325">
        <v>25860</v>
      </c>
    </row>
    <row r="25" spans="1:21" ht="50.1" customHeight="1" x14ac:dyDescent="0.2">
      <c r="A25" s="313">
        <f t="shared" ref="A25:A156" si="3">1+A24</f>
        <v>19</v>
      </c>
      <c r="B25" s="314" t="str">
        <f t="shared" si="1"/>
        <v>O.K.</v>
      </c>
      <c r="C25" s="317" t="s">
        <v>836</v>
      </c>
      <c r="D25" s="340"/>
      <c r="E25" s="325">
        <f>MAX(G25:L25)</f>
        <v>0</v>
      </c>
      <c r="F25" s="325">
        <f>MAX(M25:N25)</f>
        <v>0</v>
      </c>
      <c r="G25" s="324">
        <f>IF(OR(AND(PRRAS!D659=0,PRRAS!D661&gt;1),AND(PRRAS!D659&gt;1,PRRAS!D661=0)),1,0)</f>
        <v>0</v>
      </c>
      <c r="H25" s="324">
        <f>IF(OR(AND(PRRAS!E659=0,PRRAS!E661&gt;1),AND(PRRAS!E659&gt;1,PRRAS!E661=0)),1,0)</f>
        <v>0</v>
      </c>
      <c r="M25" s="323">
        <f>IF(OR(AND(PRRAS!D659=0,PRRAS!D661&gt;0),AND(PRRAS!D659&gt;0,PRRAS!D661=0)),1,0)</f>
        <v>0</v>
      </c>
      <c r="N25" s="323">
        <f>IF(OR(AND(PRRAS!E659=0,PRRAS!E661&gt;0),AND(PRRAS!E659&gt;0,PRRAS!E661=0)),1,0)</f>
        <v>0</v>
      </c>
      <c r="T25" s="325">
        <v>3293</v>
      </c>
      <c r="U25" s="325">
        <v>26049</v>
      </c>
    </row>
    <row r="26" spans="1:21" ht="50.1" customHeight="1" x14ac:dyDescent="0.2">
      <c r="A26" s="313">
        <f t="shared" si="3"/>
        <v>20</v>
      </c>
      <c r="B26" s="314" t="str">
        <f t="shared" si="1"/>
        <v>O.K.</v>
      </c>
      <c r="C26" s="317" t="s">
        <v>19</v>
      </c>
      <c r="D26" s="340"/>
      <c r="E26" s="325">
        <f>MAX(G26:L26)</f>
        <v>0</v>
      </c>
      <c r="F26" s="325">
        <f>MAX(M26:N26)</f>
        <v>0</v>
      </c>
      <c r="G26" s="324">
        <f>IF(OR(AND(PRRAS!D660=0,PRRAS!D662&gt;1),AND(PRRAS!D660&gt;1,PRRAS!D662=0)),1,0)</f>
        <v>0</v>
      </c>
      <c r="H26" s="324">
        <f>IF(OR(AND(PRRAS!E660=0,PRRAS!E662&gt;1),AND(PRRAS!E660&gt;1,PRRAS!E662=0)),1,0)</f>
        <v>0</v>
      </c>
      <c r="M26" s="323">
        <f>IF(OR(AND(PRRAS!D660=0,PRRAS!D662&gt;0),AND(PRRAS!D660&gt;0,PRRAS!D662=0)),1,0)</f>
        <v>0</v>
      </c>
      <c r="N26" s="323">
        <f>IF(OR(AND(PRRAS!E660=0,PRRAS!E662&gt;0),AND(PRRAS!E660&gt;0,PRRAS!E662=0)),1,0)</f>
        <v>0</v>
      </c>
      <c r="T26" s="325">
        <v>3308</v>
      </c>
      <c r="U26" s="325">
        <v>26161</v>
      </c>
    </row>
    <row r="27" spans="1:21" ht="18" customHeight="1" x14ac:dyDescent="0.2">
      <c r="A27" s="313">
        <f t="shared" si="3"/>
        <v>21</v>
      </c>
      <c r="B27" s="314" t="str">
        <f t="shared" si="1"/>
        <v>O.K.</v>
      </c>
      <c r="C27" s="356" t="s">
        <v>20</v>
      </c>
      <c r="D27" s="340"/>
      <c r="E27" s="325">
        <f>MAX(G27:L27)</f>
        <v>0</v>
      </c>
      <c r="F27" s="325">
        <v>0</v>
      </c>
      <c r="G27" s="324">
        <f>IF(PRRAS!D664&gt;PRRAS!D30,1,0)</f>
        <v>0</v>
      </c>
      <c r="H27" s="324">
        <f>IF(PRRAS!E664&gt;PRRAS!E30,1,0)</f>
        <v>0</v>
      </c>
      <c r="T27" s="325">
        <v>3316</v>
      </c>
      <c r="U27" s="325">
        <v>26196</v>
      </c>
    </row>
    <row r="28" spans="1:21" ht="18" customHeight="1" x14ac:dyDescent="0.2">
      <c r="A28" s="313">
        <f t="shared" si="3"/>
        <v>22</v>
      </c>
      <c r="B28" s="314" t="str">
        <f t="shared" si="1"/>
        <v>O.K.</v>
      </c>
      <c r="C28" s="356" t="s">
        <v>21</v>
      </c>
      <c r="D28" s="340"/>
      <c r="E28" s="325">
        <f>MAX(G28:L28)</f>
        <v>0</v>
      </c>
      <c r="F28" s="325">
        <v>0</v>
      </c>
      <c r="G28" s="324">
        <f>IF(PRRAS!D665+PRRAS!D666&gt;PRRAS!D39,1,0)</f>
        <v>0</v>
      </c>
      <c r="H28" s="324">
        <f>IF(PRRAS!E665+PRRAS!E666&gt;PRRAS!E39,1,0)</f>
        <v>0</v>
      </c>
      <c r="T28" s="325">
        <v>3324</v>
      </c>
      <c r="U28" s="325">
        <v>26207</v>
      </c>
    </row>
    <row r="29" spans="1:21" ht="18" customHeight="1" x14ac:dyDescent="0.2">
      <c r="A29" s="313">
        <f t="shared" si="3"/>
        <v>23</v>
      </c>
      <c r="B29" s="314" t="str">
        <f t="shared" si="1"/>
        <v>O.K.</v>
      </c>
      <c r="C29" s="356" t="s">
        <v>24</v>
      </c>
      <c r="D29" s="340"/>
      <c r="E29" s="325">
        <f t="shared" ref="E29:E104" si="4">MAX(G29:L29)</f>
        <v>0</v>
      </c>
      <c r="F29" s="323">
        <v>0</v>
      </c>
      <c r="G29" s="324">
        <f>IF(ABS(PRRAS!D66-SUM(PRRAS!D667:D670))&gt;1,1,0)</f>
        <v>0</v>
      </c>
      <c r="H29" s="324">
        <f>IF(ABS(PRRAS!E66-SUM(PRRAS!E667:E670))&gt;1,1,0)</f>
        <v>0</v>
      </c>
      <c r="T29" s="325">
        <v>3332</v>
      </c>
      <c r="U29" s="325">
        <v>26215</v>
      </c>
    </row>
    <row r="30" spans="1:21" ht="18" customHeight="1" x14ac:dyDescent="0.2">
      <c r="A30" s="313">
        <f t="shared" si="3"/>
        <v>24</v>
      </c>
      <c r="B30" s="314" t="str">
        <f t="shared" si="1"/>
        <v>O.K.</v>
      </c>
      <c r="C30" s="356" t="s">
        <v>23</v>
      </c>
      <c r="D30" s="340"/>
      <c r="E30" s="325">
        <f t="shared" si="4"/>
        <v>0</v>
      </c>
      <c r="F30" s="323">
        <v>0</v>
      </c>
      <c r="G30" s="324">
        <f>IF(ABS(PRRAS!D67-SUM(PRRAS!D671:'PRRAS'!D674))&gt;1,1,0)</f>
        <v>0</v>
      </c>
      <c r="H30" s="324">
        <f>IF(ABS(PRRAS!E67-SUM(PRRAS!E671:'PRRAS'!E674))&gt;1,1,0)</f>
        <v>0</v>
      </c>
      <c r="T30" s="325">
        <v>3349</v>
      </c>
      <c r="U30" s="325">
        <v>26223</v>
      </c>
    </row>
    <row r="31" spans="1:21" ht="18" customHeight="1" x14ac:dyDescent="0.2">
      <c r="A31" s="313">
        <f t="shared" si="3"/>
        <v>25</v>
      </c>
      <c r="B31" s="314" t="str">
        <f t="shared" si="1"/>
        <v>O.K.</v>
      </c>
      <c r="C31" s="356" t="s">
        <v>22</v>
      </c>
      <c r="D31" s="340"/>
      <c r="E31" s="325">
        <f t="shared" si="4"/>
        <v>0</v>
      </c>
      <c r="F31" s="323">
        <v>0</v>
      </c>
      <c r="G31" s="324">
        <f>IF(ABS(PRRAS!D69-SUM(PRRAS!D675:D677))&gt;1,1,0)</f>
        <v>0</v>
      </c>
      <c r="H31" s="324">
        <f>IF(ABS(PRRAS!E69-SUM(PRRAS!E675:E677))&gt;1,1,0)</f>
        <v>0</v>
      </c>
      <c r="T31" s="325">
        <v>20727</v>
      </c>
      <c r="U31" s="325">
        <v>26240</v>
      </c>
    </row>
    <row r="32" spans="1:21" ht="18" customHeight="1" x14ac:dyDescent="0.2">
      <c r="A32" s="313">
        <f t="shared" si="3"/>
        <v>26</v>
      </c>
      <c r="B32" s="314" t="str">
        <f t="shared" si="1"/>
        <v>O.K.</v>
      </c>
      <c r="C32" s="356" t="s">
        <v>25</v>
      </c>
      <c r="D32" s="340"/>
      <c r="E32" s="325">
        <f t="shared" si="4"/>
        <v>0</v>
      </c>
      <c r="F32" s="323">
        <v>0</v>
      </c>
      <c r="G32" s="324">
        <f>IF(ABS(PRRAS!D70-SUM(PRRAS!D678:D680))&gt;1,1,0)</f>
        <v>0</v>
      </c>
      <c r="H32" s="324">
        <f>IF(ABS(PRRAS!E70-SUM(PRRAS!E678:E680))&gt;1,1,0)</f>
        <v>0</v>
      </c>
      <c r="T32" s="325">
        <v>22275</v>
      </c>
      <c r="U32" s="325">
        <v>26725</v>
      </c>
    </row>
    <row r="33" spans="1:21" ht="18" customHeight="1" x14ac:dyDescent="0.2">
      <c r="A33" s="313">
        <f t="shared" si="3"/>
        <v>27</v>
      </c>
      <c r="B33" s="314" t="str">
        <f t="shared" si="1"/>
        <v>O.K.</v>
      </c>
      <c r="C33" s="356" t="s">
        <v>2944</v>
      </c>
      <c r="D33" s="340"/>
      <c r="E33" s="325">
        <f t="shared" ref="E33:E38" si="5">MAX(G33:L33)</f>
        <v>0</v>
      </c>
      <c r="F33" s="323">
        <v>0</v>
      </c>
      <c r="G33" s="324">
        <f>IF(ABS(PRRAS!D75-PRRAS!D681-PRRAS!D682)&gt;1,1,0)</f>
        <v>0</v>
      </c>
      <c r="H33" s="324">
        <f>IF(ABS(PRRAS!E75-PRRAS!E681-PRRAS!E682)&gt;1,1,0)</f>
        <v>0</v>
      </c>
      <c r="T33" s="325">
        <v>24086</v>
      </c>
      <c r="U33" s="325">
        <v>26969</v>
      </c>
    </row>
    <row r="34" spans="1:21" ht="18" customHeight="1" x14ac:dyDescent="0.2">
      <c r="A34" s="313">
        <f t="shared" si="3"/>
        <v>28</v>
      </c>
      <c r="B34" s="314" t="str">
        <f t="shared" si="1"/>
        <v>O.K.</v>
      </c>
      <c r="C34" s="356" t="s">
        <v>2945</v>
      </c>
      <c r="D34" s="340"/>
      <c r="E34" s="325">
        <f t="shared" si="5"/>
        <v>0</v>
      </c>
      <c r="F34" s="323">
        <v>0</v>
      </c>
      <c r="G34" s="324">
        <f>IF(ABS(PRRAS!D76-PRRAS!D683-PRRAS!D684)&gt;1,1,0)</f>
        <v>0</v>
      </c>
      <c r="H34" s="324">
        <f>IF(ABS(PRRAS!E76-PRRAS!E683-PRRAS!E684)&gt;1,1,0)</f>
        <v>0</v>
      </c>
      <c r="T34" s="325">
        <v>26346</v>
      </c>
      <c r="U34" s="325">
        <v>26977</v>
      </c>
    </row>
    <row r="35" spans="1:21" ht="18" customHeight="1" x14ac:dyDescent="0.2">
      <c r="A35" s="313">
        <f t="shared" si="3"/>
        <v>29</v>
      </c>
      <c r="B35" s="314" t="str">
        <f>IF(E35=1,"Pogreška",IF(F35=1,"Provjera","O.K."))</f>
        <v>O.K.</v>
      </c>
      <c r="C35" s="356" t="s">
        <v>26</v>
      </c>
      <c r="D35" s="340"/>
      <c r="E35" s="325">
        <f t="shared" si="5"/>
        <v>0</v>
      </c>
      <c r="F35" s="323">
        <v>0</v>
      </c>
      <c r="G35" s="324">
        <f>IF(ABS(PRRAS!D78-SUM(PRRAS!D685:D691))&gt;1,1,0)</f>
        <v>0</v>
      </c>
      <c r="H35" s="324">
        <f>IF(ABS(PRRAS!E78-SUM(PRRAS!E685:E691))&gt;1,1,0)</f>
        <v>0</v>
      </c>
      <c r="T35" s="325">
        <v>43214</v>
      </c>
      <c r="U35" s="325">
        <v>26985</v>
      </c>
    </row>
    <row r="36" spans="1:21" ht="18" customHeight="1" x14ac:dyDescent="0.2">
      <c r="A36" s="313">
        <f t="shared" si="3"/>
        <v>30</v>
      </c>
      <c r="B36" s="314" t="str">
        <f>IF(E36=1,"Pogreška",IF(F36=1,"Provjera","O.K."))</f>
        <v>O.K.</v>
      </c>
      <c r="C36" s="356" t="s">
        <v>27</v>
      </c>
      <c r="D36" s="340"/>
      <c r="E36" s="325">
        <f t="shared" si="5"/>
        <v>0</v>
      </c>
      <c r="F36" s="323">
        <v>0</v>
      </c>
      <c r="G36" s="324">
        <f>IF(ABS(PRRAS!D79-SUM(PRRAS!D692:D699))&gt;1,1,0)</f>
        <v>0</v>
      </c>
      <c r="H36" s="324">
        <f>IF(ABS(PRRAS!E79-SUM(PRRAS!E692:E699))&gt;1,1,0)</f>
        <v>0</v>
      </c>
      <c r="T36" s="325">
        <v>43214</v>
      </c>
      <c r="U36" s="325">
        <v>26985</v>
      </c>
    </row>
    <row r="37" spans="1:21" ht="18" customHeight="1" x14ac:dyDescent="0.2">
      <c r="A37" s="313">
        <f t="shared" si="3"/>
        <v>31</v>
      </c>
      <c r="B37" s="314" t="str">
        <f t="shared" si="1"/>
        <v>O.K.</v>
      </c>
      <c r="C37" s="356" t="s">
        <v>28</v>
      </c>
      <c r="D37" s="340"/>
      <c r="E37" s="325">
        <f t="shared" si="5"/>
        <v>0</v>
      </c>
      <c r="F37" s="323">
        <v>0</v>
      </c>
      <c r="G37" s="324">
        <f>IF(ABS(PRRAS!D81-SUM(PRRAS!D700:D703))&gt;1,1,0)</f>
        <v>0</v>
      </c>
      <c r="H37" s="324">
        <f>IF(ABS(PRRAS!E81-SUM(PRRAS!E700:E703))&gt;1,1,0)</f>
        <v>0</v>
      </c>
      <c r="T37" s="325">
        <v>43214</v>
      </c>
      <c r="U37" s="325">
        <v>26985</v>
      </c>
    </row>
    <row r="38" spans="1:21" ht="18" customHeight="1" x14ac:dyDescent="0.2">
      <c r="A38" s="313">
        <f t="shared" si="3"/>
        <v>32</v>
      </c>
      <c r="B38" s="314" t="str">
        <f t="shared" si="1"/>
        <v>O.K.</v>
      </c>
      <c r="C38" s="356" t="s">
        <v>29</v>
      </c>
      <c r="D38" s="340"/>
      <c r="E38" s="325">
        <f t="shared" si="5"/>
        <v>0</v>
      </c>
      <c r="F38" s="323">
        <v>0</v>
      </c>
      <c r="G38" s="324">
        <f>IF(ABS(PRRAS!D82-SUM(PRRAS!D704:D707))&gt;1,1,0)</f>
        <v>0</v>
      </c>
      <c r="H38" s="324">
        <f>IF(ABS(PRRAS!E82-SUM(PRRAS!E704:E707))&gt;1,1,0)</f>
        <v>0</v>
      </c>
      <c r="T38" s="325">
        <v>46614</v>
      </c>
      <c r="U38" s="325">
        <v>27038</v>
      </c>
    </row>
    <row r="39" spans="1:21" ht="18" customHeight="1" x14ac:dyDescent="0.2">
      <c r="A39" s="313">
        <f t="shared" si="3"/>
        <v>33</v>
      </c>
      <c r="B39" s="314" t="str">
        <f t="shared" si="1"/>
        <v>O.K.</v>
      </c>
      <c r="C39" s="356" t="s">
        <v>30</v>
      </c>
      <c r="D39" s="340"/>
      <c r="E39" s="325">
        <f t="shared" si="4"/>
        <v>0</v>
      </c>
      <c r="F39" s="323">
        <v>0</v>
      </c>
      <c r="G39" s="324">
        <f>IF(PRRAS!D708&gt;PRRAS!D96,1,0)</f>
        <v>0</v>
      </c>
      <c r="H39" s="324">
        <f>IF(PRRAS!E708&gt;PRRAS!E96,1,0)</f>
        <v>0</v>
      </c>
      <c r="T39" s="325">
        <v>47037</v>
      </c>
      <c r="U39" s="325">
        <v>27054</v>
      </c>
    </row>
    <row r="40" spans="1:21" ht="18" customHeight="1" x14ac:dyDescent="0.2">
      <c r="A40" s="313">
        <f t="shared" si="3"/>
        <v>34</v>
      </c>
      <c r="B40" s="314" t="str">
        <f t="shared" si="1"/>
        <v>O.K.</v>
      </c>
      <c r="C40" s="356" t="s">
        <v>1910</v>
      </c>
      <c r="D40" s="340"/>
      <c r="E40" s="325">
        <f t="shared" si="4"/>
        <v>0</v>
      </c>
      <c r="F40" s="323">
        <v>0</v>
      </c>
      <c r="G40" s="324">
        <f>IF(ABS(PRRAS!D111-SUM(PRRAS!D709:D715))&gt;1,1,0)</f>
        <v>0</v>
      </c>
      <c r="H40" s="324">
        <f>IF(ABS(PRRAS!E111-SUM(PRRAS!E709:E715))&gt;1,1,0)</f>
        <v>0</v>
      </c>
      <c r="T40" s="325">
        <v>47053</v>
      </c>
      <c r="U40" s="325">
        <v>27062</v>
      </c>
    </row>
    <row r="41" spans="1:21" ht="18" customHeight="1" x14ac:dyDescent="0.2">
      <c r="A41" s="313">
        <f t="shared" si="3"/>
        <v>35</v>
      </c>
      <c r="B41" s="314" t="str">
        <f t="shared" si="1"/>
        <v>O.K.</v>
      </c>
      <c r="C41" s="356" t="s">
        <v>1911</v>
      </c>
      <c r="D41" s="340"/>
      <c r="E41" s="325">
        <f t="shared" si="4"/>
        <v>0</v>
      </c>
      <c r="F41" s="323">
        <v>0</v>
      </c>
      <c r="G41" s="324">
        <f>IF(SUM(PRRAS!D716:D718)&gt;PRRAS!D123,1,0)</f>
        <v>0</v>
      </c>
      <c r="H41" s="324">
        <f>IF(SUM(PRRAS!E716:E718)&gt;PRRAS!E123,1,0)</f>
        <v>0</v>
      </c>
      <c r="T41" s="325">
        <v>47096</v>
      </c>
      <c r="U41" s="325">
        <v>27095</v>
      </c>
    </row>
    <row r="42" spans="1:21" ht="18" customHeight="1" x14ac:dyDescent="0.2">
      <c r="A42" s="313">
        <f t="shared" si="3"/>
        <v>36</v>
      </c>
      <c r="B42" s="314" t="str">
        <f>IF(E42=1,"Pogreška",IF(F42=1,"Provjera","O.K."))</f>
        <v>O.K.</v>
      </c>
      <c r="C42" s="356" t="s">
        <v>4055</v>
      </c>
      <c r="D42" s="340"/>
      <c r="E42" s="325">
        <f>MAX(G42:L42)</f>
        <v>0</v>
      </c>
      <c r="F42" s="323">
        <v>0</v>
      </c>
      <c r="G42" s="324">
        <f>IF(ABS(SUM(PRRAS!D719:D721)-PRRAS!D138)&gt;1,1,0)</f>
        <v>0</v>
      </c>
      <c r="H42" s="324">
        <f>IF(ABS(SUM(PRRAS!E719:E721)-PRRAS!E138)&gt;1,1,0)</f>
        <v>0</v>
      </c>
      <c r="T42" s="325">
        <v>47107</v>
      </c>
      <c r="U42" s="325">
        <v>27100</v>
      </c>
    </row>
    <row r="43" spans="1:21" ht="18" customHeight="1" x14ac:dyDescent="0.2">
      <c r="A43" s="313">
        <f t="shared" si="3"/>
        <v>37</v>
      </c>
      <c r="B43" s="314" t="str">
        <f t="shared" si="1"/>
        <v>O.K.</v>
      </c>
      <c r="C43" s="356" t="s">
        <v>4056</v>
      </c>
      <c r="D43" s="340"/>
      <c r="E43" s="325">
        <f t="shared" si="4"/>
        <v>0</v>
      </c>
      <c r="F43" s="323">
        <v>0</v>
      </c>
      <c r="G43" s="324">
        <f>IF(PRRAS!D722+PRRAS!D723&gt;PRRAS!D164,1,0)</f>
        <v>0</v>
      </c>
      <c r="H43" s="324">
        <f>IF(PRRAS!E722+PRRAS!E723&gt;PRRAS!E164,1,0)</f>
        <v>0</v>
      </c>
      <c r="T43" s="325">
        <v>47107</v>
      </c>
      <c r="U43" s="325">
        <v>27100</v>
      </c>
    </row>
    <row r="44" spans="1:21" ht="18" customHeight="1" x14ac:dyDescent="0.2">
      <c r="A44" s="313">
        <f t="shared" si="3"/>
        <v>38</v>
      </c>
      <c r="B44" s="314" t="str">
        <f t="shared" si="1"/>
        <v>O.K.</v>
      </c>
      <c r="C44" s="356" t="s">
        <v>4057</v>
      </c>
      <c r="D44" s="340"/>
      <c r="E44" s="325">
        <f>MAX(G44:L44)</f>
        <v>0</v>
      </c>
      <c r="F44" s="323">
        <v>0</v>
      </c>
      <c r="G44" s="324">
        <f>IF(PRRAS!D724&gt;PRRAS!D172,1,0)</f>
        <v>0</v>
      </c>
      <c r="H44" s="324">
        <f>IF(PRRAS!E724&gt;PRRAS!E172,1,0)</f>
        <v>0</v>
      </c>
      <c r="T44" s="325">
        <v>47439</v>
      </c>
      <c r="U44" s="325">
        <v>27319</v>
      </c>
    </row>
    <row r="45" spans="1:21" ht="18" customHeight="1" x14ac:dyDescent="0.2">
      <c r="A45" s="313">
        <f t="shared" si="3"/>
        <v>39</v>
      </c>
      <c r="B45" s="314" t="str">
        <f t="shared" si="1"/>
        <v>O.K.</v>
      </c>
      <c r="C45" s="356" t="s">
        <v>4058</v>
      </c>
      <c r="D45" s="340"/>
      <c r="E45" s="325">
        <f t="shared" si="4"/>
        <v>0</v>
      </c>
      <c r="F45" s="323">
        <v>0</v>
      </c>
      <c r="G45" s="324">
        <f>IF(PRRAS!D725&gt;PRRAS!D188,1,0)</f>
        <v>0</v>
      </c>
      <c r="H45" s="324">
        <f>IF(PRRAS!E725&gt;PRRAS!E188,1,0)</f>
        <v>0</v>
      </c>
      <c r="T45" s="325">
        <v>47668</v>
      </c>
      <c r="U45" s="325">
        <v>27327</v>
      </c>
    </row>
    <row r="46" spans="1:21" ht="18" customHeight="1" x14ac:dyDescent="0.2">
      <c r="A46" s="313">
        <f t="shared" si="3"/>
        <v>40</v>
      </c>
      <c r="B46" s="314" t="str">
        <f t="shared" si="1"/>
        <v>O.K.</v>
      </c>
      <c r="C46" s="356" t="s">
        <v>4059</v>
      </c>
      <c r="D46" s="340"/>
      <c r="E46" s="325">
        <f t="shared" si="4"/>
        <v>0</v>
      </c>
      <c r="F46" s="323">
        <v>0</v>
      </c>
      <c r="G46" s="324">
        <f>IF(PRRAS!D726&gt;PRRAS!D189,1,0)</f>
        <v>0</v>
      </c>
      <c r="H46" s="324">
        <f>IF(PRRAS!E726&gt;PRRAS!E189,1,0)</f>
        <v>0</v>
      </c>
      <c r="T46" s="325">
        <v>49075</v>
      </c>
      <c r="U46" s="325">
        <v>27360</v>
      </c>
    </row>
    <row r="47" spans="1:21" ht="18" customHeight="1" x14ac:dyDescent="0.2">
      <c r="A47" s="313">
        <f t="shared" si="3"/>
        <v>41</v>
      </c>
      <c r="B47" s="314" t="str">
        <f t="shared" si="1"/>
        <v>O.K.</v>
      </c>
      <c r="C47" s="356" t="s">
        <v>2659</v>
      </c>
      <c r="D47" s="340"/>
      <c r="E47" s="325">
        <f t="shared" si="4"/>
        <v>0</v>
      </c>
      <c r="F47" s="323">
        <v>0</v>
      </c>
      <c r="G47" s="324">
        <f>IF(SUM(PRRAS!D727:D729)&gt;PRRAS!D190,1,0)</f>
        <v>0</v>
      </c>
      <c r="H47" s="324">
        <f>IF(SUM(PRRAS!E727:E729)&gt;PRRAS!E190,1,0)</f>
        <v>0</v>
      </c>
      <c r="T47" s="325">
        <v>50395</v>
      </c>
      <c r="U47" s="325">
        <v>27394</v>
      </c>
    </row>
    <row r="48" spans="1:21" ht="18" customHeight="1" x14ac:dyDescent="0.2">
      <c r="A48" s="313">
        <f t="shared" si="3"/>
        <v>42</v>
      </c>
      <c r="B48" s="314" t="str">
        <f t="shared" si="1"/>
        <v>O.K.</v>
      </c>
      <c r="C48" s="356" t="s">
        <v>2660</v>
      </c>
      <c r="D48" s="340"/>
      <c r="E48" s="325">
        <f>MAX(G48:L48)</f>
        <v>0</v>
      </c>
      <c r="F48" s="323">
        <v>0</v>
      </c>
      <c r="G48" s="324">
        <f>IF(PRRAS!D730&gt;PRRAS!D192,1,0)</f>
        <v>0</v>
      </c>
      <c r="H48" s="324">
        <f>IF(PRRAS!E730&gt;PRRAS!E192,1,0)</f>
        <v>0</v>
      </c>
      <c r="T48" s="325">
        <v>50395</v>
      </c>
      <c r="U48" s="325">
        <v>27409</v>
      </c>
    </row>
    <row r="49" spans="1:21" ht="18" customHeight="1" x14ac:dyDescent="0.2">
      <c r="A49" s="313">
        <f t="shared" si="3"/>
        <v>43</v>
      </c>
      <c r="B49" s="314" t="str">
        <f t="shared" si="1"/>
        <v>O.K.</v>
      </c>
      <c r="C49" s="356" t="s">
        <v>2661</v>
      </c>
      <c r="D49" s="340"/>
      <c r="E49" s="325">
        <f t="shared" si="4"/>
        <v>0</v>
      </c>
      <c r="F49" s="323">
        <v>0</v>
      </c>
      <c r="G49" s="324">
        <f>IF(PRRAS!D731&gt;PRRAS!D195,1,0)</f>
        <v>0</v>
      </c>
      <c r="H49" s="324">
        <f>IF(PRRAS!E731&gt;PRRAS!E195,1,0)</f>
        <v>0</v>
      </c>
      <c r="T49" s="325">
        <v>50400</v>
      </c>
      <c r="U49" s="325">
        <v>27417</v>
      </c>
    </row>
    <row r="50" spans="1:21" ht="18" customHeight="1" x14ac:dyDescent="0.2">
      <c r="A50" s="313">
        <f t="shared" si="3"/>
        <v>44</v>
      </c>
      <c r="B50" s="314" t="str">
        <f t="shared" si="1"/>
        <v>O.K.</v>
      </c>
      <c r="C50" s="356" t="s">
        <v>2662</v>
      </c>
      <c r="D50" s="340"/>
      <c r="E50" s="325">
        <f t="shared" si="4"/>
        <v>0</v>
      </c>
      <c r="F50" s="323">
        <v>0</v>
      </c>
      <c r="G50" s="324">
        <f>IF(PRRAS!D732&gt;PRRAS!D196,1,0)</f>
        <v>0</v>
      </c>
      <c r="H50" s="324">
        <f>IF(PRRAS!E732&gt;PRRAS!E196,1,0)</f>
        <v>0</v>
      </c>
      <c r="T50" s="325">
        <v>51409</v>
      </c>
      <c r="U50" s="325">
        <v>27425</v>
      </c>
    </row>
    <row r="51" spans="1:21" ht="18" customHeight="1" x14ac:dyDescent="0.2">
      <c r="A51" s="313">
        <f t="shared" si="3"/>
        <v>45</v>
      </c>
      <c r="B51" s="314" t="str">
        <f t="shared" si="1"/>
        <v>O.K.</v>
      </c>
      <c r="C51" s="356" t="s">
        <v>2663</v>
      </c>
      <c r="D51" s="340"/>
      <c r="E51" s="325">
        <f t="shared" si="4"/>
        <v>0</v>
      </c>
      <c r="F51" s="323">
        <v>0</v>
      </c>
      <c r="G51" s="324">
        <f>IF(ABS(PRRAS!D733+PRRAS!D734-PRRAS!D204)&gt;1,1,0)</f>
        <v>0</v>
      </c>
      <c r="H51" s="324">
        <f>IF(ABS(PRRAS!E733+PRRAS!E734-PRRAS!E204)&gt;1,1,0)</f>
        <v>0</v>
      </c>
      <c r="T51" s="325">
        <v>51441</v>
      </c>
      <c r="U51" s="325">
        <v>27513</v>
      </c>
    </row>
    <row r="52" spans="1:21" ht="18" customHeight="1" x14ac:dyDescent="0.2">
      <c r="A52" s="313">
        <f t="shared" si="3"/>
        <v>46</v>
      </c>
      <c r="B52" s="314" t="str">
        <f t="shared" si="1"/>
        <v>O.K.</v>
      </c>
      <c r="C52" s="356" t="s">
        <v>2664</v>
      </c>
      <c r="D52" s="340"/>
      <c r="E52" s="325">
        <f t="shared" si="4"/>
        <v>0</v>
      </c>
      <c r="F52" s="323">
        <v>0</v>
      </c>
      <c r="G52" s="324">
        <f>IF(ABS(PRRAS!D735+PRRAS!D736-PRRAS!D205)&gt;1,1,0)</f>
        <v>0</v>
      </c>
      <c r="H52" s="324">
        <f>IF(ABS(PRRAS!E735+PRRAS!E736-PRRAS!E205)&gt;1,1,0)</f>
        <v>0</v>
      </c>
      <c r="T52" s="325">
        <v>99999</v>
      </c>
      <c r="U52" s="325">
        <v>27521</v>
      </c>
    </row>
    <row r="53" spans="1:21" ht="18" customHeight="1" x14ac:dyDescent="0.2">
      <c r="A53" s="313">
        <f t="shared" si="3"/>
        <v>47</v>
      </c>
      <c r="B53" s="314" t="str">
        <f t="shared" si="1"/>
        <v>O.K.</v>
      </c>
      <c r="C53" s="356" t="s">
        <v>2665</v>
      </c>
      <c r="D53" s="340"/>
      <c r="E53" s="325">
        <f t="shared" si="4"/>
        <v>0</v>
      </c>
      <c r="F53" s="323">
        <v>0</v>
      </c>
      <c r="G53" s="324">
        <f>IF(ABS(PRRAS!D737+PRRAS!D738-PRRAS!D206)&gt;1,1,0)</f>
        <v>0</v>
      </c>
      <c r="H53" s="324">
        <f>IF(ABS(PRRAS!E737+PRRAS!E738-PRRAS!E206)&gt;1,1,0)</f>
        <v>0</v>
      </c>
      <c r="U53" s="325">
        <v>27530</v>
      </c>
    </row>
    <row r="54" spans="1:21" ht="18" customHeight="1" x14ac:dyDescent="0.2">
      <c r="A54" s="313">
        <f t="shared" si="3"/>
        <v>48</v>
      </c>
      <c r="B54" s="314" t="str">
        <f t="shared" si="1"/>
        <v>O.K.</v>
      </c>
      <c r="C54" s="356" t="s">
        <v>2666</v>
      </c>
      <c r="D54" s="340"/>
      <c r="E54" s="325">
        <f t="shared" si="4"/>
        <v>0</v>
      </c>
      <c r="F54" s="323">
        <v>0</v>
      </c>
      <c r="G54" s="324">
        <f>IF(ABS(PRRAS!D739+PRRAS!D740-PRRAS!D207)&gt;1,1,0)</f>
        <v>0</v>
      </c>
      <c r="H54" s="324">
        <f>IF(ABS(PRRAS!E739+PRRAS!E740-PRRAS!E207)&gt;1,1,0)</f>
        <v>0</v>
      </c>
      <c r="U54" s="325">
        <v>27572</v>
      </c>
    </row>
    <row r="55" spans="1:21" ht="18" customHeight="1" x14ac:dyDescent="0.2">
      <c r="A55" s="313">
        <f t="shared" si="3"/>
        <v>49</v>
      </c>
      <c r="B55" s="314" t="str">
        <f t="shared" si="1"/>
        <v>O.K.</v>
      </c>
      <c r="C55" s="356" t="s">
        <v>2667</v>
      </c>
      <c r="D55" s="340"/>
      <c r="E55" s="325">
        <f t="shared" si="4"/>
        <v>0</v>
      </c>
      <c r="F55" s="323">
        <v>0</v>
      </c>
      <c r="G55" s="324">
        <f>IF(ABS(PRRAS!D209-SUM(PRRAS!D741:D744))&gt;1,1,0)</f>
        <v>0</v>
      </c>
      <c r="H55" s="324">
        <f>IF(ABS(PRRAS!E209-SUM(PRRAS!E741:E744))&gt;1,1,0)</f>
        <v>0</v>
      </c>
      <c r="U55" s="325">
        <v>27597</v>
      </c>
    </row>
    <row r="56" spans="1:21" ht="18" customHeight="1" x14ac:dyDescent="0.2">
      <c r="A56" s="313">
        <f t="shared" si="3"/>
        <v>50</v>
      </c>
      <c r="B56" s="314" t="str">
        <f t="shared" si="1"/>
        <v>O.K.</v>
      </c>
      <c r="C56" s="356" t="s">
        <v>2668</v>
      </c>
      <c r="D56" s="340"/>
      <c r="E56" s="325">
        <f t="shared" si="4"/>
        <v>0</v>
      </c>
      <c r="F56" s="323">
        <v>0</v>
      </c>
      <c r="G56" s="324">
        <f>IF(ABS(PRRAS!D210-SUM(PRRAS!D745:D747))&gt;1,1,0)</f>
        <v>0</v>
      </c>
      <c r="H56" s="324">
        <f>IF(ABS(PRRAS!E210-SUM(PRRAS!E745:E747))&gt;1,1,0)</f>
        <v>0</v>
      </c>
      <c r="U56" s="325">
        <v>27716</v>
      </c>
    </row>
    <row r="57" spans="1:21" ht="18" customHeight="1" x14ac:dyDescent="0.2">
      <c r="A57" s="313">
        <f t="shared" si="3"/>
        <v>51</v>
      </c>
      <c r="B57" s="314" t="str">
        <f t="shared" si="1"/>
        <v>O.K.</v>
      </c>
      <c r="C57" s="356" t="s">
        <v>2669</v>
      </c>
      <c r="D57" s="340"/>
      <c r="E57" s="325">
        <f t="shared" si="4"/>
        <v>0</v>
      </c>
      <c r="F57" s="323">
        <v>0</v>
      </c>
      <c r="G57" s="324">
        <f>IF(ABS(PRRAS!D211-SUM(PRRAS!D748:D753))&gt;1,1,0)</f>
        <v>0</v>
      </c>
      <c r="H57" s="324">
        <f>IF(ABS(PRRAS!E211-SUM(PRRAS!E748:E753))&gt;1,1,0)</f>
        <v>0</v>
      </c>
      <c r="U57" s="325">
        <v>27888</v>
      </c>
    </row>
    <row r="58" spans="1:21" ht="18" customHeight="1" x14ac:dyDescent="0.2">
      <c r="A58" s="313">
        <f t="shared" si="3"/>
        <v>52</v>
      </c>
      <c r="B58" s="314" t="str">
        <f t="shared" si="1"/>
        <v>O.K.</v>
      </c>
      <c r="C58" s="356" t="s">
        <v>2670</v>
      </c>
      <c r="D58" s="340"/>
      <c r="E58" s="325">
        <f t="shared" si="4"/>
        <v>0</v>
      </c>
      <c r="F58" s="323">
        <v>0</v>
      </c>
      <c r="G58" s="324">
        <f>IF(SUM(PRRAS!D754:D756)&gt;PRRAS!D214,1,0)</f>
        <v>0</v>
      </c>
      <c r="H58" s="324">
        <f>IF(SUM(PRRAS!E754:E756)&gt;PRRAS!E214,1,0)</f>
        <v>0</v>
      </c>
      <c r="U58" s="325">
        <v>27907</v>
      </c>
    </row>
    <row r="59" spans="1:21" ht="18" customHeight="1" x14ac:dyDescent="0.2">
      <c r="A59" s="313">
        <f t="shared" si="3"/>
        <v>53</v>
      </c>
      <c r="B59" s="314" t="str">
        <f t="shared" si="1"/>
        <v>O.K.</v>
      </c>
      <c r="C59" s="356" t="s">
        <v>2671</v>
      </c>
      <c r="D59" s="340"/>
      <c r="E59" s="325">
        <f t="shared" si="4"/>
        <v>0</v>
      </c>
      <c r="F59" s="323">
        <v>0</v>
      </c>
      <c r="G59" s="324">
        <f>IF(ABS(PRRAS!D215-SUM(PRRAS!D757:D763))&gt;1,1,0)</f>
        <v>0</v>
      </c>
      <c r="H59" s="324">
        <f>IF(ABS(PRRAS!E215-SUM(PRRAS!E757:E763))&gt;1,1,0)</f>
        <v>0</v>
      </c>
      <c r="U59" s="325">
        <v>27931</v>
      </c>
    </row>
    <row r="60" spans="1:21" ht="18" customHeight="1" x14ac:dyDescent="0.2">
      <c r="A60" s="313">
        <f t="shared" si="3"/>
        <v>54</v>
      </c>
      <c r="B60" s="314" t="str">
        <f t="shared" si="1"/>
        <v>O.K.</v>
      </c>
      <c r="C60" s="356" t="s">
        <v>2672</v>
      </c>
      <c r="D60" s="340"/>
      <c r="E60" s="325">
        <f t="shared" si="4"/>
        <v>0</v>
      </c>
      <c r="F60" s="323">
        <v>0</v>
      </c>
      <c r="G60" s="324">
        <f>IF(PRRAS!D764&gt;PRRAS!D220,1,0)</f>
        <v>0</v>
      </c>
      <c r="H60" s="324">
        <f>IF(PRRAS!E764&gt;PRRAS!E220,1,0)</f>
        <v>0</v>
      </c>
      <c r="U60" s="325">
        <v>28006</v>
      </c>
    </row>
    <row r="61" spans="1:21" ht="18" customHeight="1" x14ac:dyDescent="0.2">
      <c r="A61" s="313">
        <f t="shared" si="3"/>
        <v>55</v>
      </c>
      <c r="B61" s="314" t="str">
        <f t="shared" si="1"/>
        <v>O.K.</v>
      </c>
      <c r="C61" s="356" t="s">
        <v>2673</v>
      </c>
      <c r="D61" s="340"/>
      <c r="E61" s="325">
        <f t="shared" si="4"/>
        <v>0</v>
      </c>
      <c r="F61" s="323">
        <v>0</v>
      </c>
      <c r="G61" s="324">
        <f>IF(ABS(PRRAS!D228-PRRAS!D765-PRRAS!D766)&gt;1,1,0)</f>
        <v>0</v>
      </c>
      <c r="H61" s="324">
        <f>IF(ABS(PRRAS!E228-PRRAS!E765-PRRAS!E766)&gt;1,1,0)</f>
        <v>0</v>
      </c>
      <c r="U61" s="325">
        <v>28014</v>
      </c>
    </row>
    <row r="62" spans="1:21" ht="18" customHeight="1" x14ac:dyDescent="0.2">
      <c r="A62" s="313">
        <f t="shared" si="3"/>
        <v>56</v>
      </c>
      <c r="B62" s="314" t="str">
        <f t="shared" si="1"/>
        <v>O.K.</v>
      </c>
      <c r="C62" s="356" t="s">
        <v>2674</v>
      </c>
      <c r="D62" s="340"/>
      <c r="E62" s="325">
        <f t="shared" si="4"/>
        <v>0</v>
      </c>
      <c r="F62" s="323">
        <v>0</v>
      </c>
      <c r="G62" s="324">
        <f>IF(ABS(PRRAS!D238-SUM(PRRAS!D767:D773))&gt;1,1,0)</f>
        <v>0</v>
      </c>
      <c r="H62" s="324">
        <f>IF(ABS(PRRAS!E238-SUM(PRRAS!E767:E773))&gt;1,1,0)</f>
        <v>0</v>
      </c>
      <c r="U62" s="325">
        <v>28143</v>
      </c>
    </row>
    <row r="63" spans="1:21" ht="18" customHeight="1" x14ac:dyDescent="0.2">
      <c r="A63" s="313">
        <f t="shared" si="3"/>
        <v>57</v>
      </c>
      <c r="B63" s="314" t="str">
        <f t="shared" si="1"/>
        <v>O.K.</v>
      </c>
      <c r="C63" s="356" t="s">
        <v>2675</v>
      </c>
      <c r="D63" s="340"/>
      <c r="E63" s="325">
        <f t="shared" si="4"/>
        <v>0</v>
      </c>
      <c r="F63" s="323">
        <v>0</v>
      </c>
      <c r="G63" s="324">
        <f>IF(ABS(PRRAS!D239-SUM(PRRAS!D774:D780))&gt;1,1,0)</f>
        <v>0</v>
      </c>
      <c r="H63" s="324">
        <f>IF(ABS(PRRAS!E239-SUM(PRRAS!E774:E780))&gt;1,1,0)</f>
        <v>0</v>
      </c>
      <c r="U63" s="325">
        <v>28151</v>
      </c>
    </row>
    <row r="64" spans="1:21" ht="18" customHeight="1" x14ac:dyDescent="0.2">
      <c r="A64" s="313">
        <f t="shared" si="3"/>
        <v>58</v>
      </c>
      <c r="B64" s="314" t="str">
        <f t="shared" si="1"/>
        <v>O.K.</v>
      </c>
      <c r="C64" s="356" t="s">
        <v>2676</v>
      </c>
      <c r="D64" s="340"/>
      <c r="E64" s="325">
        <f>MAX(G64:L64)</f>
        <v>0</v>
      </c>
      <c r="F64" s="323">
        <v>0</v>
      </c>
      <c r="G64" s="324">
        <f>IF(ABS(PRRAS!D240-SUM(PRRAS!D781:D786))&gt;1,1,0)</f>
        <v>0</v>
      </c>
      <c r="H64" s="324">
        <f>IF(ABS(PRRAS!E240-SUM(PRRAS!E781:E786))&gt;1,1,0)</f>
        <v>0</v>
      </c>
      <c r="U64" s="325">
        <v>28160</v>
      </c>
    </row>
    <row r="65" spans="1:21" ht="18" customHeight="1" x14ac:dyDescent="0.2">
      <c r="A65" s="313">
        <f t="shared" si="3"/>
        <v>59</v>
      </c>
      <c r="B65" s="314" t="str">
        <f>IF(E65=1,"Pogreška",IF(F65=1,"Provjera","O.K."))</f>
        <v>O.K.</v>
      </c>
      <c r="C65" s="356" t="s">
        <v>2677</v>
      </c>
      <c r="D65" s="340"/>
      <c r="E65" s="325">
        <f>MAX(G65:L65)</f>
        <v>0</v>
      </c>
      <c r="F65" s="323">
        <v>0</v>
      </c>
      <c r="G65" s="324">
        <f>IF(ABS(PRRAS!D241-SUM(PRRAS!D787:D793))&gt;1,1,0)</f>
        <v>0</v>
      </c>
      <c r="H65" s="324">
        <f>IF(ABS(PRRAS!E241-SUM(PRRAS!E787:E793))&gt;1,1,0)</f>
        <v>0</v>
      </c>
      <c r="U65" s="325">
        <v>28160</v>
      </c>
    </row>
    <row r="66" spans="1:21" ht="18" customHeight="1" x14ac:dyDescent="0.2">
      <c r="A66" s="313">
        <f t="shared" si="3"/>
        <v>60</v>
      </c>
      <c r="B66" s="314" t="str">
        <f>IF(E66=1,"Pogreška",IF(F66=1,"Provjera","O.K."))</f>
        <v>O.K.</v>
      </c>
      <c r="C66" s="356" t="s">
        <v>4110</v>
      </c>
      <c r="D66" s="340"/>
      <c r="E66" s="325">
        <f>MAX(G66:L66)</f>
        <v>0</v>
      </c>
      <c r="F66" s="323">
        <v>0</v>
      </c>
      <c r="G66" s="324">
        <f>IF(ABS(SUM(PRRAS!D794:D795)-PRRAS!D245)&gt;1,1,0)</f>
        <v>0</v>
      </c>
      <c r="H66" s="324">
        <f>IF(ABS(SUM(PRRAS!E794:E795)-PRRAS!E245)&gt;1,1,0)</f>
        <v>0</v>
      </c>
      <c r="U66" s="325">
        <v>28160</v>
      </c>
    </row>
    <row r="67" spans="1:21" ht="18" customHeight="1" x14ac:dyDescent="0.2">
      <c r="A67" s="313">
        <f t="shared" si="3"/>
        <v>61</v>
      </c>
      <c r="B67" s="314" t="str">
        <f t="shared" si="1"/>
        <v>O.K.</v>
      </c>
      <c r="C67" s="356" t="s">
        <v>4111</v>
      </c>
      <c r="D67" s="340"/>
      <c r="E67" s="325">
        <f t="shared" si="4"/>
        <v>0</v>
      </c>
      <c r="F67" s="323">
        <v>0</v>
      </c>
      <c r="G67" s="324">
        <f>IF(ABS(PRRAS!D251-SUM(PRRAS!D796:D804))&gt;1,1,0)</f>
        <v>0</v>
      </c>
      <c r="H67" s="324">
        <f>IF(ABS(PRRAS!E251-SUM(PRRAS!E796:E804))&gt;1,1,0)</f>
        <v>0</v>
      </c>
      <c r="U67" s="325">
        <v>28160</v>
      </c>
    </row>
    <row r="68" spans="1:21" ht="18" customHeight="1" x14ac:dyDescent="0.2">
      <c r="A68" s="313">
        <f t="shared" si="3"/>
        <v>62</v>
      </c>
      <c r="B68" s="314" t="str">
        <f t="shared" si="1"/>
        <v>O.K.</v>
      </c>
      <c r="C68" s="356" t="s">
        <v>4112</v>
      </c>
      <c r="D68" s="340"/>
      <c r="E68" s="325">
        <f t="shared" si="4"/>
        <v>0</v>
      </c>
      <c r="F68" s="323">
        <v>0</v>
      </c>
      <c r="G68" s="324">
        <f>IF(ABS(PRRAS!D252-SUM(PRRAS!D805:D813))&gt;1,1,0)</f>
        <v>0</v>
      </c>
      <c r="H68" s="324">
        <f>IF(ABS(PRRAS!E252-SUM(PRRAS!E805:E813))&gt;1,1,0)</f>
        <v>0</v>
      </c>
      <c r="U68" s="325">
        <v>28178</v>
      </c>
    </row>
    <row r="69" spans="1:21" ht="18" customHeight="1" x14ac:dyDescent="0.2">
      <c r="A69" s="313">
        <f t="shared" si="3"/>
        <v>63</v>
      </c>
      <c r="B69" s="314" t="str">
        <f t="shared" si="1"/>
        <v>O.K.</v>
      </c>
      <c r="C69" s="356" t="s">
        <v>4113</v>
      </c>
      <c r="D69" s="340"/>
      <c r="E69" s="325">
        <f t="shared" si="4"/>
        <v>0</v>
      </c>
      <c r="F69" s="323">
        <v>0</v>
      </c>
      <c r="G69" s="324">
        <f>IF(ABS(PRRAS!D262-SUM(PRRAS!D814:D816))&gt;1,1,0)</f>
        <v>0</v>
      </c>
      <c r="H69" s="324">
        <f>IF(ABS(PRRAS!E262-SUM(PRRAS!E814:E816))&gt;1,1,0)</f>
        <v>0</v>
      </c>
      <c r="U69" s="325">
        <v>28186</v>
      </c>
    </row>
    <row r="70" spans="1:21" ht="18" customHeight="1" x14ac:dyDescent="0.2">
      <c r="A70" s="313">
        <f t="shared" si="3"/>
        <v>64</v>
      </c>
      <c r="B70" s="314" t="str">
        <f t="shared" si="1"/>
        <v>O.K.</v>
      </c>
      <c r="C70" s="356" t="s">
        <v>4114</v>
      </c>
      <c r="D70" s="340"/>
      <c r="E70" s="325">
        <f t="shared" si="4"/>
        <v>0</v>
      </c>
      <c r="F70" s="323">
        <v>0</v>
      </c>
      <c r="G70" s="324">
        <f>IF(ABS(PRRAS!D263-SUM(PRRAS!D817:D820))&gt;1,1,0)</f>
        <v>0</v>
      </c>
      <c r="H70" s="324">
        <f>IF(ABS(PRRAS!E263-SUM(PRRAS!E817:E820))&gt;1,1,0)</f>
        <v>0</v>
      </c>
      <c r="U70" s="325">
        <v>28194</v>
      </c>
    </row>
    <row r="71" spans="1:21" ht="18" customHeight="1" x14ac:dyDescent="0.2">
      <c r="A71" s="313">
        <f t="shared" si="3"/>
        <v>65</v>
      </c>
      <c r="B71" s="314" t="str">
        <f t="shared" si="1"/>
        <v>O.K.</v>
      </c>
      <c r="C71" s="356" t="s">
        <v>4115</v>
      </c>
      <c r="D71" s="340"/>
      <c r="E71" s="325">
        <f t="shared" si="4"/>
        <v>0</v>
      </c>
      <c r="F71" s="323">
        <v>0</v>
      </c>
      <c r="G71" s="324">
        <f>IF(ABS(PRRAS!D266-SUM(PRRAS!D821:D829))&gt;1,1,0)</f>
        <v>0</v>
      </c>
      <c r="H71" s="324">
        <f>IF(ABS(PRRAS!E266-SUM(PRRAS!E821:E829))&gt;1,1,0)</f>
        <v>0</v>
      </c>
      <c r="U71" s="325">
        <v>28284</v>
      </c>
    </row>
    <row r="72" spans="1:21" ht="18" customHeight="1" x14ac:dyDescent="0.2">
      <c r="A72" s="313">
        <f t="shared" si="3"/>
        <v>66</v>
      </c>
      <c r="B72" s="314" t="str">
        <f t="shared" si="1"/>
        <v>O.K.</v>
      </c>
      <c r="C72" s="356" t="s">
        <v>4116</v>
      </c>
      <c r="D72" s="340"/>
      <c r="E72" s="325">
        <f t="shared" si="4"/>
        <v>0</v>
      </c>
      <c r="F72" s="323">
        <v>0</v>
      </c>
      <c r="G72" s="324">
        <f>IF(ABS(PRRAS!D267-SUM(PRRAS!D830:D834))&gt;1,1,0)</f>
        <v>0</v>
      </c>
      <c r="H72" s="324">
        <f>IF(ABS(PRRAS!E267-SUM(PRRAS!E830:E834))&gt;1,1,0)</f>
        <v>0</v>
      </c>
      <c r="U72" s="325">
        <v>28330</v>
      </c>
    </row>
    <row r="73" spans="1:21" ht="18" customHeight="1" x14ac:dyDescent="0.2">
      <c r="A73" s="313">
        <f t="shared" si="3"/>
        <v>67</v>
      </c>
      <c r="B73" s="314" t="str">
        <f t="shared" si="1"/>
        <v>O.K.</v>
      </c>
      <c r="C73" s="356" t="s">
        <v>4117</v>
      </c>
      <c r="D73" s="340"/>
      <c r="E73" s="325">
        <f t="shared" si="4"/>
        <v>0</v>
      </c>
      <c r="F73" s="323">
        <v>0</v>
      </c>
      <c r="G73" s="324">
        <f>IF(PRRAS!D835&gt;PRRAS!D271,1,0)</f>
        <v>0</v>
      </c>
      <c r="H73" s="324">
        <f>IF(PRRAS!E835&gt;PRRAS!E271,1,0)</f>
        <v>0</v>
      </c>
      <c r="U73" s="325">
        <v>28348</v>
      </c>
    </row>
    <row r="74" spans="1:21" ht="18" customHeight="1" x14ac:dyDescent="0.2">
      <c r="A74" s="313">
        <f t="shared" si="3"/>
        <v>68</v>
      </c>
      <c r="B74" s="314" t="str">
        <f t="shared" si="1"/>
        <v>O.K.</v>
      </c>
      <c r="C74" s="356" t="s">
        <v>4118</v>
      </c>
      <c r="D74" s="340"/>
      <c r="E74" s="325">
        <f t="shared" si="4"/>
        <v>0</v>
      </c>
      <c r="F74" s="323">
        <v>0</v>
      </c>
      <c r="G74" s="324">
        <f>IF(ABS(PRRAS!D286-SUM(PRRAS!D836:D839))&gt;1,1,0)</f>
        <v>0</v>
      </c>
      <c r="H74" s="324">
        <f>IF(ABS(PRRAS!E286-SUM(PRRAS!E836:E839))&gt;1,1,0)</f>
        <v>0</v>
      </c>
      <c r="U74" s="325">
        <v>28356</v>
      </c>
    </row>
    <row r="75" spans="1:21" ht="18" customHeight="1" x14ac:dyDescent="0.2">
      <c r="A75" s="313">
        <f t="shared" si="3"/>
        <v>69</v>
      </c>
      <c r="B75" s="314" t="str">
        <f t="shared" si="1"/>
        <v>O.K.</v>
      </c>
      <c r="C75" s="356" t="s">
        <v>4119</v>
      </c>
      <c r="D75" s="340"/>
      <c r="E75" s="325">
        <f t="shared" si="4"/>
        <v>0</v>
      </c>
      <c r="F75" s="323">
        <v>0</v>
      </c>
      <c r="G75" s="324">
        <f>IF(ABS(PRRAS!D287-SUM(PRRAS!D840:D844))&gt;1,1,0)</f>
        <v>0</v>
      </c>
      <c r="H75" s="324">
        <f>IF(ABS(PRRAS!E287-SUM(PRRAS!E840:E844))&gt;1,1,0)</f>
        <v>0</v>
      </c>
      <c r="U75" s="325">
        <v>28364</v>
      </c>
    </row>
    <row r="76" spans="1:21" ht="18" customHeight="1" x14ac:dyDescent="0.2">
      <c r="A76" s="313">
        <f t="shared" si="3"/>
        <v>70</v>
      </c>
      <c r="B76" s="314" t="str">
        <f t="shared" si="1"/>
        <v>O.K.</v>
      </c>
      <c r="C76" s="356" t="s">
        <v>4120</v>
      </c>
      <c r="D76" s="340"/>
      <c r="E76" s="325">
        <f t="shared" si="4"/>
        <v>0</v>
      </c>
      <c r="F76" s="323">
        <v>0</v>
      </c>
      <c r="G76" s="324">
        <f>IF(ABS(PRRAS!D288-SUM(PRRAS!D845:D846))&gt;1,1,0)</f>
        <v>0</v>
      </c>
      <c r="H76" s="324">
        <f>IF(ABS(PRRAS!E288-SUM(PRRAS!E845:E846))&gt;1,1,0)</f>
        <v>0</v>
      </c>
      <c r="U76" s="325">
        <v>28397</v>
      </c>
    </row>
    <row r="77" spans="1:21" ht="18" customHeight="1" x14ac:dyDescent="0.2">
      <c r="A77" s="313">
        <f t="shared" si="3"/>
        <v>71</v>
      </c>
      <c r="B77" s="314" t="str">
        <f t="shared" si="1"/>
        <v>O.K.</v>
      </c>
      <c r="C77" s="356" t="s">
        <v>4121</v>
      </c>
      <c r="D77" s="340"/>
      <c r="E77" s="325">
        <f>MAX(G77:L77)</f>
        <v>0</v>
      </c>
      <c r="F77" s="323">
        <v>0</v>
      </c>
      <c r="G77" s="324">
        <f>IF(ABS(PRRAS!D289-SUM(PRRAS!D847:D848))&gt;1,1,0)</f>
        <v>0</v>
      </c>
      <c r="H77" s="324">
        <f>IF(ABS(PRRAS!E289-SUM(PRRAS!E847:E848))&gt;1,1,0)</f>
        <v>0</v>
      </c>
      <c r="U77" s="325">
        <v>28573</v>
      </c>
    </row>
    <row r="78" spans="1:21" ht="18" customHeight="1" x14ac:dyDescent="0.2">
      <c r="A78" s="313">
        <f t="shared" si="3"/>
        <v>72</v>
      </c>
      <c r="B78" s="314" t="str">
        <f>IF(E78=1,"Pogreška",IF(F78=1,"Provjera","O.K."))</f>
        <v>O.K.</v>
      </c>
      <c r="C78" s="356" t="s">
        <v>2815</v>
      </c>
      <c r="D78" s="340"/>
      <c r="E78" s="325">
        <f>MAX(G78:L78)</f>
        <v>0</v>
      </c>
      <c r="F78" s="323">
        <v>0</v>
      </c>
      <c r="G78" s="324">
        <f>IF(ABS(PRRAS!D290-SUM(PRRAS!D849:D851))&gt;1,1,0)</f>
        <v>0</v>
      </c>
      <c r="H78" s="324">
        <f>IF(ABS(PRRAS!E290-SUM(PRRAS!E849:E851))&gt;1,1,0)</f>
        <v>0</v>
      </c>
      <c r="U78" s="325">
        <v>28573</v>
      </c>
    </row>
    <row r="79" spans="1:21" ht="18" customHeight="1" x14ac:dyDescent="0.2">
      <c r="A79" s="313">
        <f t="shared" si="3"/>
        <v>73</v>
      </c>
      <c r="B79" s="314" t="str">
        <f t="shared" si="1"/>
        <v>O.K.</v>
      </c>
      <c r="C79" s="356" t="s">
        <v>2816</v>
      </c>
      <c r="D79" s="340"/>
      <c r="E79" s="325">
        <f t="shared" si="4"/>
        <v>0</v>
      </c>
      <c r="F79" s="323">
        <v>0</v>
      </c>
      <c r="G79" s="324">
        <f>IF(PRRAS!D852&gt;PRRAS!D434,1,0)</f>
        <v>0</v>
      </c>
      <c r="H79" s="324">
        <f>IF(PRRAS!E852&gt;PRRAS!E434,1,0)</f>
        <v>0</v>
      </c>
      <c r="U79" s="325">
        <v>28670</v>
      </c>
    </row>
    <row r="80" spans="1:21" ht="18" customHeight="1" x14ac:dyDescent="0.2">
      <c r="A80" s="313">
        <f t="shared" si="3"/>
        <v>74</v>
      </c>
      <c r="B80" s="314" t="str">
        <f t="shared" ref="B80:B143" si="6">IF(E80=1,"Pogreška",IF(F80=1,"Provjera","O.K."))</f>
        <v>O.K.</v>
      </c>
      <c r="C80" s="356" t="s">
        <v>2817</v>
      </c>
      <c r="D80" s="340"/>
      <c r="E80" s="325">
        <f t="shared" si="4"/>
        <v>0</v>
      </c>
      <c r="F80" s="323">
        <v>0</v>
      </c>
      <c r="G80" s="324">
        <f>IF(PRRAS!D853&gt;PRRAS!D437,1,0)</f>
        <v>0</v>
      </c>
      <c r="H80" s="324">
        <f>IF(PRRAS!E853&gt;PRRAS!E437,1,0)</f>
        <v>0</v>
      </c>
      <c r="U80" s="325">
        <v>28707</v>
      </c>
    </row>
    <row r="81" spans="1:21" ht="18" customHeight="1" x14ac:dyDescent="0.2">
      <c r="A81" s="313">
        <f t="shared" si="3"/>
        <v>75</v>
      </c>
      <c r="B81" s="314" t="str">
        <f t="shared" si="6"/>
        <v>O.K.</v>
      </c>
      <c r="C81" s="356" t="s">
        <v>2818</v>
      </c>
      <c r="D81" s="340"/>
      <c r="E81" s="325">
        <f t="shared" si="4"/>
        <v>0</v>
      </c>
      <c r="F81" s="323">
        <v>0</v>
      </c>
      <c r="G81" s="324">
        <f>IF(PRRAS!D854&gt;PRRAS!D438,1,0)</f>
        <v>0</v>
      </c>
      <c r="H81" s="324">
        <f>IF(PRRAS!E854&gt;PRRAS!E438,1,0)</f>
        <v>0</v>
      </c>
      <c r="U81" s="325">
        <v>28959</v>
      </c>
    </row>
    <row r="82" spans="1:21" ht="18" customHeight="1" x14ac:dyDescent="0.2">
      <c r="A82" s="313">
        <f t="shared" si="3"/>
        <v>76</v>
      </c>
      <c r="B82" s="314" t="str">
        <f t="shared" si="6"/>
        <v>O.K.</v>
      </c>
      <c r="C82" s="356" t="s">
        <v>2819</v>
      </c>
      <c r="D82" s="340"/>
      <c r="E82" s="325">
        <f t="shared" si="4"/>
        <v>0</v>
      </c>
      <c r="F82" s="323">
        <v>0</v>
      </c>
      <c r="G82" s="324">
        <f>IF(PRRAS!D855&gt;PRRAS!D439,1,0)</f>
        <v>0</v>
      </c>
      <c r="H82" s="324">
        <f>IF(PRRAS!E855&gt;PRRAS!E439,1,0)</f>
        <v>0</v>
      </c>
      <c r="U82" s="325">
        <v>29285</v>
      </c>
    </row>
    <row r="83" spans="1:21" ht="18" customHeight="1" x14ac:dyDescent="0.2">
      <c r="A83" s="313">
        <f t="shared" si="3"/>
        <v>77</v>
      </c>
      <c r="B83" s="314" t="str">
        <f t="shared" si="6"/>
        <v>O.K.</v>
      </c>
      <c r="C83" s="356" t="s">
        <v>42</v>
      </c>
      <c r="D83" s="340"/>
      <c r="E83" s="325">
        <f t="shared" si="4"/>
        <v>0</v>
      </c>
      <c r="F83" s="323">
        <v>0</v>
      </c>
      <c r="G83" s="324">
        <f>IF(ABS(PRRAS!D440-SUM(PRRAS!D856:D857))&gt;1,1,0)</f>
        <v>0</v>
      </c>
      <c r="H83" s="324">
        <f>IF(ABS(PRRAS!E440-SUM(PRRAS!E856:E857))&gt;1,1,0)</f>
        <v>0</v>
      </c>
      <c r="U83" s="325">
        <v>29293</v>
      </c>
    </row>
    <row r="84" spans="1:21" ht="18" customHeight="1" x14ac:dyDescent="0.2">
      <c r="A84" s="313">
        <f t="shared" si="3"/>
        <v>78</v>
      </c>
      <c r="B84" s="314" t="str">
        <f t="shared" si="6"/>
        <v>O.K.</v>
      </c>
      <c r="C84" s="356" t="s">
        <v>2820</v>
      </c>
      <c r="D84" s="340"/>
      <c r="E84" s="325">
        <f t="shared" si="4"/>
        <v>0</v>
      </c>
      <c r="F84" s="323">
        <v>0</v>
      </c>
      <c r="G84" s="324">
        <f>IF(PRRAS!D858&gt;PRRAS!D442,1,0)</f>
        <v>0</v>
      </c>
      <c r="H84" s="324">
        <f>IF(PRRAS!E858&gt;PRRAS!E442,1,0)</f>
        <v>0</v>
      </c>
      <c r="U84" s="325">
        <v>29308</v>
      </c>
    </row>
    <row r="85" spans="1:21" ht="18" customHeight="1" x14ac:dyDescent="0.2">
      <c r="A85" s="313">
        <f t="shared" si="3"/>
        <v>79</v>
      </c>
      <c r="B85" s="314" t="str">
        <f t="shared" si="6"/>
        <v>O.K.</v>
      </c>
      <c r="C85" s="356" t="s">
        <v>2821</v>
      </c>
      <c r="D85" s="340"/>
      <c r="E85" s="325">
        <f t="shared" si="4"/>
        <v>0</v>
      </c>
      <c r="F85" s="323">
        <v>0</v>
      </c>
      <c r="G85" s="324">
        <f>IF(PRRAS!D859&gt;PRRAS!D443,1,0)</f>
        <v>0</v>
      </c>
      <c r="H85" s="324">
        <f>IF(PRRAS!E859&gt;PRRAS!E443,1,0)</f>
        <v>0</v>
      </c>
      <c r="U85" s="325">
        <v>29316</v>
      </c>
    </row>
    <row r="86" spans="1:21" ht="18" customHeight="1" x14ac:dyDescent="0.2">
      <c r="A86" s="313">
        <f t="shared" si="3"/>
        <v>80</v>
      </c>
      <c r="B86" s="314" t="str">
        <f t="shared" si="6"/>
        <v>O.K.</v>
      </c>
      <c r="C86" s="356" t="s">
        <v>2822</v>
      </c>
      <c r="D86" s="340"/>
      <c r="E86" s="325">
        <f t="shared" si="4"/>
        <v>0</v>
      </c>
      <c r="F86" s="323">
        <v>0</v>
      </c>
      <c r="G86" s="324">
        <f>IF(PRRAS!D860&gt;PRRAS!D444,1,0)</f>
        <v>0</v>
      </c>
      <c r="H86" s="324">
        <f>IF(PRRAS!E860&gt;PRRAS!E444,1,0)</f>
        <v>0</v>
      </c>
      <c r="U86" s="325">
        <v>29531</v>
      </c>
    </row>
    <row r="87" spans="1:21" ht="18" customHeight="1" x14ac:dyDescent="0.2">
      <c r="A87" s="313">
        <f t="shared" si="3"/>
        <v>81</v>
      </c>
      <c r="B87" s="314" t="str">
        <f t="shared" si="6"/>
        <v>O.K.</v>
      </c>
      <c r="C87" s="356" t="s">
        <v>2823</v>
      </c>
      <c r="D87" s="340"/>
      <c r="E87" s="325">
        <f t="shared" si="4"/>
        <v>0</v>
      </c>
      <c r="F87" s="323">
        <v>0</v>
      </c>
      <c r="G87" s="324">
        <f>IF(ABS(PRRAS!D449-SUM(PRRAS!D861:D862))&gt;1,1,0)</f>
        <v>0</v>
      </c>
      <c r="H87" s="324">
        <f>IF(ABS(PRRAS!E449-SUM(PRRAS!E861:E862))&gt;1,1,0)</f>
        <v>0</v>
      </c>
      <c r="U87" s="325">
        <v>29566</v>
      </c>
    </row>
    <row r="88" spans="1:21" ht="18" customHeight="1" x14ac:dyDescent="0.2">
      <c r="A88" s="313">
        <f t="shared" si="3"/>
        <v>82</v>
      </c>
      <c r="B88" s="314" t="str">
        <f t="shared" si="6"/>
        <v>O.K.</v>
      </c>
      <c r="C88" s="356" t="s">
        <v>2824</v>
      </c>
      <c r="D88" s="340"/>
      <c r="E88" s="325">
        <f t="shared" si="4"/>
        <v>0</v>
      </c>
      <c r="F88" s="323">
        <v>0</v>
      </c>
      <c r="G88" s="324">
        <f>IF(ABS(PRRAS!D450-SUM(PRRAS!D863:D864))&gt;1,1,0)</f>
        <v>0</v>
      </c>
      <c r="H88" s="324">
        <f>IF(ABS(PRRAS!E450-SUM(PRRAS!E863:E864))&gt;1,1,0)</f>
        <v>0</v>
      </c>
      <c r="U88" s="325">
        <v>29927</v>
      </c>
    </row>
    <row r="89" spans="1:21" ht="18" customHeight="1" x14ac:dyDescent="0.2">
      <c r="A89" s="313">
        <f t="shared" si="3"/>
        <v>83</v>
      </c>
      <c r="B89" s="314" t="str">
        <f t="shared" si="6"/>
        <v>O.K.</v>
      </c>
      <c r="C89" s="356" t="s">
        <v>2825</v>
      </c>
      <c r="D89" s="340"/>
      <c r="E89" s="325">
        <f t="shared" si="4"/>
        <v>0</v>
      </c>
      <c r="F89" s="323">
        <v>0</v>
      </c>
      <c r="G89" s="324">
        <f>IF(ABS(PRRAS!D454-SUM(PRRAS!D865:D866))&gt;1,1,0)</f>
        <v>0</v>
      </c>
      <c r="H89" s="324">
        <f>IF(ABS(PRRAS!E454-SUM(PRRAS!E865:E866))&gt;1,1,0)</f>
        <v>0</v>
      </c>
      <c r="U89" s="325">
        <v>29943</v>
      </c>
    </row>
    <row r="90" spans="1:21" ht="18" customHeight="1" x14ac:dyDescent="0.2">
      <c r="A90" s="313">
        <f t="shared" si="3"/>
        <v>84</v>
      </c>
      <c r="B90" s="314" t="str">
        <f t="shared" si="6"/>
        <v>O.K.</v>
      </c>
      <c r="C90" s="356" t="s">
        <v>2826</v>
      </c>
      <c r="D90" s="340"/>
      <c r="E90" s="325">
        <f t="shared" si="4"/>
        <v>0</v>
      </c>
      <c r="F90" s="323">
        <v>0</v>
      </c>
      <c r="G90" s="324">
        <f>IF(ABS(PRRAS!D455-SUM(PRRAS!D867:D868))&gt;1,1,0)</f>
        <v>0</v>
      </c>
      <c r="H90" s="324">
        <f>IF(ABS(PRRAS!E455-SUM(PRRAS!E867:E868))&gt;1,1,0)</f>
        <v>0</v>
      </c>
      <c r="U90" s="325">
        <v>30099</v>
      </c>
    </row>
    <row r="91" spans="1:21" ht="18" customHeight="1" x14ac:dyDescent="0.2">
      <c r="A91" s="313">
        <f t="shared" si="3"/>
        <v>85</v>
      </c>
      <c r="B91" s="314" t="str">
        <f t="shared" si="6"/>
        <v>O.K.</v>
      </c>
      <c r="C91" s="356" t="s">
        <v>2827</v>
      </c>
      <c r="D91" s="340"/>
      <c r="E91" s="325">
        <f t="shared" si="4"/>
        <v>0</v>
      </c>
      <c r="F91" s="323">
        <v>0</v>
      </c>
      <c r="G91" s="324">
        <f>IF(ABS(PRRAS!D456-SUM(PRRAS!D869:D870))&gt;1,1,0)</f>
        <v>0</v>
      </c>
      <c r="H91" s="324">
        <f>IF(ABS(PRRAS!E456-SUM(PRRAS!E869:E870))&gt;1,1,0)</f>
        <v>0</v>
      </c>
      <c r="U91" s="325">
        <v>30103</v>
      </c>
    </row>
    <row r="92" spans="1:21" ht="18" customHeight="1" x14ac:dyDescent="0.2">
      <c r="A92" s="313">
        <f t="shared" si="3"/>
        <v>86</v>
      </c>
      <c r="B92" s="314" t="str">
        <f t="shared" si="6"/>
        <v>O.K.</v>
      </c>
      <c r="C92" s="356" t="s">
        <v>2828</v>
      </c>
      <c r="D92" s="340"/>
      <c r="E92" s="325">
        <f t="shared" si="4"/>
        <v>0</v>
      </c>
      <c r="F92" s="323">
        <v>0</v>
      </c>
      <c r="G92" s="324">
        <f>IF(ABS(PRRAS!D457-SUM(PRRAS!D871:D872))&gt;1,1,0)</f>
        <v>0</v>
      </c>
      <c r="H92" s="324">
        <f>IF(ABS(PRRAS!E457-SUM(PRRAS!E871:E872))&gt;1,1,0)</f>
        <v>0</v>
      </c>
      <c r="U92" s="325">
        <v>30111</v>
      </c>
    </row>
    <row r="93" spans="1:21" ht="18" customHeight="1" x14ac:dyDescent="0.2">
      <c r="A93" s="313">
        <f t="shared" si="3"/>
        <v>87</v>
      </c>
      <c r="B93" s="314" t="str">
        <f t="shared" si="6"/>
        <v>O.K.</v>
      </c>
      <c r="C93" s="356" t="s">
        <v>2829</v>
      </c>
      <c r="D93" s="340"/>
      <c r="E93" s="325">
        <f t="shared" si="4"/>
        <v>0</v>
      </c>
      <c r="F93" s="323">
        <v>0</v>
      </c>
      <c r="G93" s="324">
        <f>IF(ABS(PRRAS!D458-SUM(PRRAS!D873:D874))&gt;1,1,0)</f>
        <v>0</v>
      </c>
      <c r="H93" s="324">
        <f>IF(ABS(PRRAS!E458-SUM(PRRAS!E873:E874))&gt;1,1,0)</f>
        <v>0</v>
      </c>
      <c r="U93" s="325">
        <v>30120</v>
      </c>
    </row>
    <row r="94" spans="1:21" ht="18" customHeight="1" x14ac:dyDescent="0.2">
      <c r="A94" s="313">
        <f t="shared" si="3"/>
        <v>88</v>
      </c>
      <c r="B94" s="314" t="str">
        <f t="shared" si="6"/>
        <v>O.K.</v>
      </c>
      <c r="C94" s="356" t="s">
        <v>2830</v>
      </c>
      <c r="D94" s="340"/>
      <c r="E94" s="325">
        <f t="shared" si="4"/>
        <v>0</v>
      </c>
      <c r="F94" s="323">
        <v>0</v>
      </c>
      <c r="G94" s="324">
        <f>IF(ABS(PRRAS!D459-SUM(PRRAS!D875:D876))&gt;1,1,0)</f>
        <v>0</v>
      </c>
      <c r="H94" s="324">
        <f>IF(ABS(PRRAS!E459-SUM(PRRAS!E875:E876))&gt;1,1,0)</f>
        <v>0</v>
      </c>
      <c r="U94" s="325">
        <v>30138</v>
      </c>
    </row>
    <row r="95" spans="1:21" ht="18" customHeight="1" x14ac:dyDescent="0.2">
      <c r="A95" s="313">
        <f t="shared" si="3"/>
        <v>89</v>
      </c>
      <c r="B95" s="314" t="str">
        <f t="shared" si="6"/>
        <v>O.K.</v>
      </c>
      <c r="C95" s="356" t="s">
        <v>2831</v>
      </c>
      <c r="D95" s="340"/>
      <c r="E95" s="325">
        <f t="shared" si="4"/>
        <v>0</v>
      </c>
      <c r="F95" s="323">
        <v>0</v>
      </c>
      <c r="G95" s="324">
        <f>IF(ABS(PRRAS!D460-SUM(PRRAS!D877:D878))&gt;1,1,0)</f>
        <v>0</v>
      </c>
      <c r="H95" s="324">
        <f>IF(ABS(PRRAS!E460-SUM(PRRAS!E877:E878))&gt;1,1,0)</f>
        <v>0</v>
      </c>
      <c r="U95" s="325">
        <v>30339</v>
      </c>
    </row>
    <row r="96" spans="1:21" ht="18" customHeight="1" x14ac:dyDescent="0.2">
      <c r="A96" s="313">
        <f t="shared" si="3"/>
        <v>90</v>
      </c>
      <c r="B96" s="314" t="str">
        <f t="shared" si="6"/>
        <v>O.K.</v>
      </c>
      <c r="C96" s="356" t="s">
        <v>2832</v>
      </c>
      <c r="D96" s="340"/>
      <c r="E96" s="325">
        <f t="shared" si="4"/>
        <v>0</v>
      </c>
      <c r="F96" s="323">
        <v>0</v>
      </c>
      <c r="G96" s="324">
        <f>IF(PRRAS!D879&gt;PRRAS!D476,1,0)</f>
        <v>0</v>
      </c>
      <c r="H96" s="324">
        <f>IF(PRRAS!E879&gt;PRRAS!E476,1,0)</f>
        <v>0</v>
      </c>
      <c r="U96" s="325">
        <v>30371</v>
      </c>
    </row>
    <row r="97" spans="1:21" ht="18" customHeight="1" x14ac:dyDescent="0.2">
      <c r="A97" s="313">
        <f t="shared" si="3"/>
        <v>91</v>
      </c>
      <c r="B97" s="314" t="str">
        <f t="shared" si="6"/>
        <v>O.K.</v>
      </c>
      <c r="C97" s="356" t="s">
        <v>2833</v>
      </c>
      <c r="D97" s="340"/>
      <c r="E97" s="325">
        <f t="shared" si="4"/>
        <v>0</v>
      </c>
      <c r="F97" s="323">
        <v>0</v>
      </c>
      <c r="G97" s="324">
        <f>IF(PRRAS!D880&gt;PRRAS!D492,1,0)</f>
        <v>0</v>
      </c>
      <c r="H97" s="324">
        <f>IF(PRRAS!E880&gt;PRRAS!E492,1,0)</f>
        <v>0</v>
      </c>
      <c r="U97" s="325">
        <v>30451</v>
      </c>
    </row>
    <row r="98" spans="1:21" ht="18" customHeight="1" x14ac:dyDescent="0.2">
      <c r="A98" s="313">
        <f t="shared" si="3"/>
        <v>92</v>
      </c>
      <c r="B98" s="314" t="str">
        <f t="shared" si="6"/>
        <v>O.K.</v>
      </c>
      <c r="C98" s="356" t="s">
        <v>2834</v>
      </c>
      <c r="D98" s="340"/>
      <c r="E98" s="325">
        <f t="shared" si="4"/>
        <v>0</v>
      </c>
      <c r="F98" s="323">
        <v>0</v>
      </c>
      <c r="G98" s="324">
        <f>IF(PRRAS!D881&gt;PRRAS!D493,1,0)</f>
        <v>0</v>
      </c>
      <c r="H98" s="324">
        <f>IF(PRRAS!E881&gt;PRRAS!E493,1,0)</f>
        <v>0</v>
      </c>
      <c r="U98" s="325">
        <v>30525</v>
      </c>
    </row>
    <row r="99" spans="1:21" ht="18" customHeight="1" x14ac:dyDescent="0.2">
      <c r="A99" s="313">
        <f t="shared" si="3"/>
        <v>93</v>
      </c>
      <c r="B99" s="314" t="str">
        <f t="shared" si="6"/>
        <v>O.K.</v>
      </c>
      <c r="C99" s="356" t="s">
        <v>2835</v>
      </c>
      <c r="D99" s="340"/>
      <c r="E99" s="325">
        <f t="shared" si="4"/>
        <v>0</v>
      </c>
      <c r="F99" s="323">
        <v>0</v>
      </c>
      <c r="G99" s="324">
        <f>IF(PRRAS!D882&gt;PRRAS!D494,1,0)</f>
        <v>0</v>
      </c>
      <c r="H99" s="324">
        <f>IF(PRRAS!E882&gt;PRRAS!E494,1,0)</f>
        <v>0</v>
      </c>
      <c r="U99" s="325">
        <v>30630</v>
      </c>
    </row>
    <row r="100" spans="1:21" ht="18" customHeight="1" x14ac:dyDescent="0.2">
      <c r="A100" s="313">
        <f t="shared" si="3"/>
        <v>94</v>
      </c>
      <c r="B100" s="314" t="str">
        <f t="shared" si="6"/>
        <v>O.K.</v>
      </c>
      <c r="C100" s="356" t="s">
        <v>4300</v>
      </c>
      <c r="D100" s="340"/>
      <c r="E100" s="325">
        <f t="shared" si="4"/>
        <v>0</v>
      </c>
      <c r="F100" s="323">
        <v>0</v>
      </c>
      <c r="G100" s="324">
        <f>IF(PRRAS!D883&gt;PRRAS!D495,1,0)</f>
        <v>0</v>
      </c>
      <c r="H100" s="324">
        <f>IF(PRRAS!E883&gt;PRRAS!E495,1,0)</f>
        <v>0</v>
      </c>
      <c r="U100" s="325">
        <v>30832</v>
      </c>
    </row>
    <row r="101" spans="1:21" ht="18" customHeight="1" x14ac:dyDescent="0.2">
      <c r="A101" s="313">
        <f t="shared" si="3"/>
        <v>95</v>
      </c>
      <c r="B101" s="314" t="str">
        <f t="shared" si="6"/>
        <v>O.K.</v>
      </c>
      <c r="C101" s="356" t="s">
        <v>2934</v>
      </c>
      <c r="D101" s="340"/>
      <c r="E101" s="325">
        <f t="shared" si="4"/>
        <v>0</v>
      </c>
      <c r="F101" s="323">
        <v>0</v>
      </c>
      <c r="G101" s="324">
        <f>IF(SUM(PRRAS!D884:D886)&gt;PRRAS!D497,1,0)</f>
        <v>0</v>
      </c>
      <c r="H101" s="324">
        <f>IF(SUM(PRRAS!E884:E886)&gt;PRRAS!E497,1,0)</f>
        <v>0</v>
      </c>
      <c r="U101" s="325">
        <v>30849</v>
      </c>
    </row>
    <row r="102" spans="1:21" ht="18" customHeight="1" x14ac:dyDescent="0.2">
      <c r="A102" s="313">
        <f t="shared" si="3"/>
        <v>96</v>
      </c>
      <c r="B102" s="314" t="str">
        <f t="shared" si="6"/>
        <v>O.K.</v>
      </c>
      <c r="C102" s="356" t="s">
        <v>2935</v>
      </c>
      <c r="D102" s="340"/>
      <c r="E102" s="325">
        <f t="shared" si="4"/>
        <v>0</v>
      </c>
      <c r="F102" s="323">
        <v>0</v>
      </c>
      <c r="G102" s="324">
        <f>IF(PRRAS!D887&gt;PRRAS!D498,1,0)</f>
        <v>0</v>
      </c>
      <c r="H102" s="324">
        <f>IF(PRRAS!E887&gt;PRRAS!E498,1,0)</f>
        <v>0</v>
      </c>
      <c r="U102" s="325">
        <v>30865</v>
      </c>
    </row>
    <row r="103" spans="1:21" ht="18" customHeight="1" x14ac:dyDescent="0.2">
      <c r="A103" s="313">
        <f t="shared" si="3"/>
        <v>97</v>
      </c>
      <c r="B103" s="314" t="str">
        <f t="shared" si="6"/>
        <v>O.K.</v>
      </c>
      <c r="C103" s="356" t="s">
        <v>2936</v>
      </c>
      <c r="D103" s="340"/>
      <c r="E103" s="325">
        <f t="shared" si="4"/>
        <v>0</v>
      </c>
      <c r="F103" s="323">
        <v>0</v>
      </c>
      <c r="G103" s="324">
        <f>IF(SUM(PRRAS!D888:D889)&gt;PRRAS!D499,1,0)</f>
        <v>0</v>
      </c>
      <c r="H103" s="324">
        <f>IF(SUM(PRRAS!E888:E889)&gt;PRRAS!E499,1,0)</f>
        <v>0</v>
      </c>
      <c r="U103" s="325">
        <v>30912</v>
      </c>
    </row>
    <row r="104" spans="1:21" ht="18" customHeight="1" x14ac:dyDescent="0.2">
      <c r="A104" s="313">
        <f t="shared" si="3"/>
        <v>98</v>
      </c>
      <c r="B104" s="314" t="str">
        <f t="shared" si="6"/>
        <v>O.K.</v>
      </c>
      <c r="C104" s="356" t="s">
        <v>2937</v>
      </c>
      <c r="D104" s="340"/>
      <c r="E104" s="325">
        <f t="shared" si="4"/>
        <v>0</v>
      </c>
      <c r="F104" s="323">
        <v>0</v>
      </c>
      <c r="G104" s="324">
        <f>IF(PRRAS!D890&gt;PRRAS!D500,1,0)</f>
        <v>0</v>
      </c>
      <c r="H104" s="324">
        <f>IF(PRRAS!E890&gt;PRRAS!E500,1,0)</f>
        <v>0</v>
      </c>
      <c r="U104" s="325">
        <v>30929</v>
      </c>
    </row>
    <row r="105" spans="1:21" ht="18" customHeight="1" x14ac:dyDescent="0.2">
      <c r="A105" s="313">
        <f t="shared" si="3"/>
        <v>99</v>
      </c>
      <c r="B105" s="314" t="str">
        <f t="shared" si="6"/>
        <v>O.K.</v>
      </c>
      <c r="C105" s="356" t="s">
        <v>2938</v>
      </c>
      <c r="D105" s="340"/>
      <c r="E105" s="325">
        <f t="shared" ref="E105:E171" si="7">MAX(G105:L105)</f>
        <v>0</v>
      </c>
      <c r="F105" s="323">
        <v>0</v>
      </c>
      <c r="G105" s="324">
        <f>IF(SUM(PRRAS!D891:D893)&gt;PRRAS!D502,1,0)</f>
        <v>0</v>
      </c>
      <c r="H105" s="324">
        <f>IF(SUM(PRRAS!E891:E893)&gt;PRRAS!E502,1,0)</f>
        <v>0</v>
      </c>
      <c r="U105" s="325">
        <v>30953</v>
      </c>
    </row>
    <row r="106" spans="1:21" ht="18" customHeight="1" x14ac:dyDescent="0.2">
      <c r="A106" s="313">
        <f t="shared" si="3"/>
        <v>100</v>
      </c>
      <c r="B106" s="314" t="str">
        <f t="shared" si="6"/>
        <v>O.K.</v>
      </c>
      <c r="C106" s="356" t="s">
        <v>2939</v>
      </c>
      <c r="D106" s="340"/>
      <c r="E106" s="325">
        <f t="shared" si="7"/>
        <v>0</v>
      </c>
      <c r="F106" s="323">
        <v>0</v>
      </c>
      <c r="G106" s="324">
        <f>IF(PRRAS!D894&gt;PRRAS!D503,1,0)</f>
        <v>0</v>
      </c>
      <c r="H106" s="324">
        <f>IF(PRRAS!E894&gt;PRRAS!E503,1,0)</f>
        <v>0</v>
      </c>
      <c r="U106" s="325">
        <v>31000</v>
      </c>
    </row>
    <row r="107" spans="1:21" ht="18" customHeight="1" x14ac:dyDescent="0.2">
      <c r="A107" s="313">
        <f t="shared" si="3"/>
        <v>101</v>
      </c>
      <c r="B107" s="314" t="str">
        <f t="shared" si="6"/>
        <v>O.K.</v>
      </c>
      <c r="C107" s="356" t="s">
        <v>2940</v>
      </c>
      <c r="D107" s="340"/>
      <c r="E107" s="325">
        <f t="shared" si="7"/>
        <v>0</v>
      </c>
      <c r="F107" s="323">
        <v>0</v>
      </c>
      <c r="G107" s="324">
        <f>IF(SUM(PRRAS!D895:D896)&gt;PRRAS!D504,1,0)</f>
        <v>0</v>
      </c>
      <c r="H107" s="324">
        <f>IF(SUM(PRRAS!E895:E896)&gt;PRRAS!E504,1,0)</f>
        <v>0</v>
      </c>
      <c r="U107" s="325">
        <v>31147</v>
      </c>
    </row>
    <row r="108" spans="1:21" ht="18" customHeight="1" x14ac:dyDescent="0.2">
      <c r="A108" s="313">
        <f t="shared" si="3"/>
        <v>102</v>
      </c>
      <c r="B108" s="314" t="str">
        <f t="shared" si="6"/>
        <v>O.K.</v>
      </c>
      <c r="C108" s="356" t="s">
        <v>2941</v>
      </c>
      <c r="D108" s="340"/>
      <c r="E108" s="325">
        <f t="shared" si="7"/>
        <v>0</v>
      </c>
      <c r="F108" s="323">
        <v>0</v>
      </c>
      <c r="G108" s="324">
        <f>IF(SUM(PRRAS!D897:D899)&gt;PRRAS!D505,1,0)</f>
        <v>0</v>
      </c>
      <c r="H108" s="324">
        <f>IF(SUM(PRRAS!E897:E899)&gt;PRRAS!E505,1,0)</f>
        <v>0</v>
      </c>
      <c r="U108" s="325">
        <v>31202</v>
      </c>
    </row>
    <row r="109" spans="1:21" ht="18" customHeight="1" x14ac:dyDescent="0.2">
      <c r="A109" s="313">
        <f t="shared" si="3"/>
        <v>103</v>
      </c>
      <c r="B109" s="314" t="str">
        <f t="shared" si="6"/>
        <v>O.K.</v>
      </c>
      <c r="C109" s="356" t="s">
        <v>2942</v>
      </c>
      <c r="D109" s="340"/>
      <c r="E109" s="325">
        <f t="shared" si="7"/>
        <v>0</v>
      </c>
      <c r="F109" s="323">
        <v>0</v>
      </c>
      <c r="G109" s="324">
        <f>IF(PRRAS!D900&gt;PRRAS!D506,1,0)</f>
        <v>0</v>
      </c>
      <c r="H109" s="324">
        <f>IF(PRRAS!E900&gt;PRRAS!E506,1,0)</f>
        <v>0</v>
      </c>
      <c r="U109" s="325">
        <v>31278</v>
      </c>
    </row>
    <row r="110" spans="1:21" ht="18" customHeight="1" x14ac:dyDescent="0.2">
      <c r="A110" s="313">
        <f t="shared" si="3"/>
        <v>104</v>
      </c>
      <c r="B110" s="314" t="str">
        <f t="shared" si="6"/>
        <v>O.K.</v>
      </c>
      <c r="C110" s="356" t="s">
        <v>2943</v>
      </c>
      <c r="D110" s="340"/>
      <c r="E110" s="325">
        <f t="shared" si="7"/>
        <v>0</v>
      </c>
      <c r="F110" s="323">
        <v>0</v>
      </c>
      <c r="G110" s="324">
        <f>IF(SUM(PRRAS!D901:D902)&gt;PRRAS!D507,1,0)</f>
        <v>0</v>
      </c>
      <c r="H110" s="324">
        <f>IF(SUM(PRRAS!E901:E902)&gt;PRRAS!E507,1,0)</f>
        <v>0</v>
      </c>
      <c r="U110" s="325">
        <v>31317</v>
      </c>
    </row>
    <row r="111" spans="1:21" ht="18" customHeight="1" x14ac:dyDescent="0.2">
      <c r="A111" s="313">
        <f t="shared" si="3"/>
        <v>105</v>
      </c>
      <c r="B111" s="314" t="str">
        <f t="shared" si="6"/>
        <v>O.K.</v>
      </c>
      <c r="C111" s="356" t="s">
        <v>2946</v>
      </c>
      <c r="D111" s="340"/>
      <c r="E111" s="325">
        <f t="shared" si="7"/>
        <v>0</v>
      </c>
      <c r="F111" s="323">
        <v>0</v>
      </c>
      <c r="G111" s="324">
        <f>IF(PRRAS!D903&gt;PRRAS!D509,1,0)</f>
        <v>0</v>
      </c>
      <c r="H111" s="324">
        <f>IF(PRRAS!E903&gt;PRRAS!E509,1,0)</f>
        <v>0</v>
      </c>
      <c r="U111" s="325">
        <v>31413</v>
      </c>
    </row>
    <row r="112" spans="1:21" ht="18" customHeight="1" x14ac:dyDescent="0.2">
      <c r="A112" s="313">
        <f t="shared" si="3"/>
        <v>106</v>
      </c>
      <c r="B112" s="314" t="str">
        <f t="shared" si="6"/>
        <v>O.K.</v>
      </c>
      <c r="C112" s="356" t="s">
        <v>2947</v>
      </c>
      <c r="D112" s="340"/>
      <c r="E112" s="325">
        <f t="shared" si="7"/>
        <v>0</v>
      </c>
      <c r="F112" s="323">
        <v>0</v>
      </c>
      <c r="G112" s="324">
        <f>IF(PRRAS!D904&gt;PRRAS!D510,1,0)</f>
        <v>0</v>
      </c>
      <c r="H112" s="324">
        <f>IF(PRRAS!E904&gt;PRRAS!E510,1,0)</f>
        <v>0</v>
      </c>
      <c r="U112" s="325">
        <v>31421</v>
      </c>
    </row>
    <row r="113" spans="1:21" ht="18" customHeight="1" x14ac:dyDescent="0.2">
      <c r="A113" s="313">
        <f t="shared" si="3"/>
        <v>107</v>
      </c>
      <c r="B113" s="314" t="str">
        <f t="shared" si="6"/>
        <v>O.K.</v>
      </c>
      <c r="C113" s="356" t="s">
        <v>2948</v>
      </c>
      <c r="D113" s="340"/>
      <c r="E113" s="325">
        <f t="shared" si="7"/>
        <v>0</v>
      </c>
      <c r="F113" s="323">
        <v>0</v>
      </c>
      <c r="G113" s="324">
        <f>IF(PRRAS!D905&gt;PRRAS!D511,1,0)</f>
        <v>0</v>
      </c>
      <c r="H113" s="324">
        <f>IF(PRRAS!E905&gt;PRRAS!E511,1,0)</f>
        <v>0</v>
      </c>
      <c r="U113" s="325">
        <v>31430</v>
      </c>
    </row>
    <row r="114" spans="1:21" ht="18" customHeight="1" x14ac:dyDescent="0.2">
      <c r="A114" s="313">
        <f t="shared" si="3"/>
        <v>108</v>
      </c>
      <c r="B114" s="314" t="str">
        <f t="shared" si="6"/>
        <v>O.K.</v>
      </c>
      <c r="C114" s="356" t="s">
        <v>2949</v>
      </c>
      <c r="D114" s="340"/>
      <c r="E114" s="325">
        <f t="shared" si="7"/>
        <v>0</v>
      </c>
      <c r="F114" s="323">
        <v>0</v>
      </c>
      <c r="G114" s="324">
        <f>IF(ABS(PRRAS!D514-PRRAS!D906-PRRAS!D907)&gt;1,1,0)</f>
        <v>0</v>
      </c>
      <c r="H114" s="324">
        <f>IF(ABS(PRRAS!E514-PRRAS!E906-PRRAS!E907)&gt;1,1,0)</f>
        <v>0</v>
      </c>
      <c r="U114" s="325">
        <v>31448</v>
      </c>
    </row>
    <row r="115" spans="1:21" ht="18" customHeight="1" x14ac:dyDescent="0.2">
      <c r="A115" s="313">
        <f t="shared" si="3"/>
        <v>109</v>
      </c>
      <c r="B115" s="314" t="str">
        <f t="shared" si="6"/>
        <v>O.K.</v>
      </c>
      <c r="C115" s="356" t="s">
        <v>2950</v>
      </c>
      <c r="D115" s="340"/>
      <c r="E115" s="325">
        <f t="shared" si="7"/>
        <v>0</v>
      </c>
      <c r="F115" s="323">
        <v>0</v>
      </c>
      <c r="G115" s="324">
        <f>IF(ABS(PRRAS!D515-PRRAS!D908-PRRAS!D909)&gt;1,1,0)</f>
        <v>0</v>
      </c>
      <c r="H115" s="324">
        <f>IF(ABS(PRRAS!E515-PRRAS!E908-PRRAS!E909)&gt;1,1,0)</f>
        <v>0</v>
      </c>
      <c r="U115" s="325">
        <v>31456</v>
      </c>
    </row>
    <row r="116" spans="1:21" ht="18" customHeight="1" x14ac:dyDescent="0.2">
      <c r="A116" s="313">
        <f t="shared" si="3"/>
        <v>110</v>
      </c>
      <c r="B116" s="314" t="str">
        <f t="shared" si="6"/>
        <v>O.K.</v>
      </c>
      <c r="C116" s="356" t="s">
        <v>2951</v>
      </c>
      <c r="D116" s="340"/>
      <c r="E116" s="325">
        <f t="shared" si="7"/>
        <v>0</v>
      </c>
      <c r="F116" s="323">
        <v>0</v>
      </c>
      <c r="G116" s="324">
        <f>IF(ABS(PRRAS!D516-PRRAS!D910-PRRAS!D911)&gt;1,1,0)</f>
        <v>0</v>
      </c>
      <c r="H116" s="324">
        <f>IF(ABS(PRRAS!E516-PRRAS!E910-PRRAS!E911)&gt;1,1,0)</f>
        <v>0</v>
      </c>
      <c r="U116" s="325">
        <v>31497</v>
      </c>
    </row>
    <row r="117" spans="1:21" ht="18" customHeight="1" x14ac:dyDescent="0.2">
      <c r="A117" s="313">
        <f t="shared" si="3"/>
        <v>111</v>
      </c>
      <c r="B117" s="314" t="str">
        <f t="shared" si="6"/>
        <v>O.K.</v>
      </c>
      <c r="C117" s="356" t="s">
        <v>2952</v>
      </c>
      <c r="D117" s="340"/>
      <c r="E117" s="325">
        <f t="shared" si="7"/>
        <v>0</v>
      </c>
      <c r="F117" s="323">
        <v>0</v>
      </c>
      <c r="G117" s="324">
        <f>IF(ABS(PRRAS!D517-PRRAS!D912-PRRAS!D913)&gt;1,1,0)</f>
        <v>0</v>
      </c>
      <c r="H117" s="324">
        <f>IF(ABS(PRRAS!E517-PRRAS!E912-PRRAS!E913)&gt;1,1,0)</f>
        <v>0</v>
      </c>
      <c r="U117" s="325">
        <v>31737</v>
      </c>
    </row>
    <row r="118" spans="1:21" ht="18" customHeight="1" x14ac:dyDescent="0.2">
      <c r="A118" s="313">
        <f t="shared" si="3"/>
        <v>112</v>
      </c>
      <c r="B118" s="314" t="str">
        <f t="shared" si="6"/>
        <v>O.K.</v>
      </c>
      <c r="C118" s="356" t="s">
        <v>2953</v>
      </c>
      <c r="D118" s="340"/>
      <c r="E118" s="325">
        <f t="shared" si="7"/>
        <v>0</v>
      </c>
      <c r="F118" s="323">
        <v>0</v>
      </c>
      <c r="G118" s="324">
        <f>IF(ABS(PRRAS!D518-PRRAS!D914-PRRAS!D915)&gt;1,1,0)</f>
        <v>0</v>
      </c>
      <c r="H118" s="324">
        <f>IF(ABS(PRRAS!E518-PRRAS!E914-PRRAS!E915)&gt;1,1,0)</f>
        <v>0</v>
      </c>
      <c r="U118" s="325">
        <v>31753</v>
      </c>
    </row>
    <row r="119" spans="1:21" ht="18" customHeight="1" x14ac:dyDescent="0.2">
      <c r="A119" s="313">
        <f t="shared" si="3"/>
        <v>113</v>
      </c>
      <c r="B119" s="314" t="str">
        <f t="shared" si="6"/>
        <v>O.K.</v>
      </c>
      <c r="C119" s="356" t="s">
        <v>4305</v>
      </c>
      <c r="D119" s="340"/>
      <c r="E119" s="325">
        <f t="shared" si="7"/>
        <v>0</v>
      </c>
      <c r="F119" s="323">
        <v>0</v>
      </c>
      <c r="G119" s="324">
        <f>IF(ABS(PRRAS!D519-PRRAS!D916-PRRAS!D917)&gt;1,1,0)</f>
        <v>0</v>
      </c>
      <c r="H119" s="324">
        <f>IF(ABS(PRRAS!E519-PRRAS!E916-PRRAS!E917)&gt;1,1,0)</f>
        <v>0</v>
      </c>
      <c r="U119" s="325">
        <v>31761</v>
      </c>
    </row>
    <row r="120" spans="1:21" ht="18" customHeight="1" x14ac:dyDescent="0.2">
      <c r="A120" s="313">
        <f t="shared" si="3"/>
        <v>114</v>
      </c>
      <c r="B120" s="314" t="str">
        <f t="shared" si="6"/>
        <v>O.K.</v>
      </c>
      <c r="C120" s="356" t="s">
        <v>4306</v>
      </c>
      <c r="D120" s="340"/>
      <c r="E120" s="325">
        <f t="shared" si="7"/>
        <v>0</v>
      </c>
      <c r="F120" s="323">
        <v>0</v>
      </c>
      <c r="G120" s="324">
        <f>IF(ABS(PRRAS!D520-PRRAS!D918-PRRAS!D919)&gt;1,1,0)</f>
        <v>0</v>
      </c>
      <c r="H120" s="324">
        <f>IF(ABS(PRRAS!E520-PRRAS!E918-PRRAS!E919)&gt;1,1,0)</f>
        <v>0</v>
      </c>
      <c r="U120" s="325">
        <v>31920</v>
      </c>
    </row>
    <row r="121" spans="1:21" ht="18" customHeight="1" x14ac:dyDescent="0.2">
      <c r="A121" s="313">
        <f t="shared" si="3"/>
        <v>115</v>
      </c>
      <c r="B121" s="314" t="str">
        <f t="shared" si="6"/>
        <v>O.K.</v>
      </c>
      <c r="C121" s="356" t="s">
        <v>4307</v>
      </c>
      <c r="D121" s="340"/>
      <c r="E121" s="325">
        <f t="shared" si="7"/>
        <v>0</v>
      </c>
      <c r="F121" s="323">
        <v>0</v>
      </c>
      <c r="G121" s="324">
        <f>IF(PRRAS!D920&gt;PRRAS!D532,1,0)</f>
        <v>0</v>
      </c>
      <c r="H121" s="324">
        <f>IF(PRRAS!E920&gt;PRRAS!E532,1,0)</f>
        <v>0</v>
      </c>
      <c r="U121" s="325">
        <v>31995</v>
      </c>
    </row>
    <row r="122" spans="1:21" ht="18" customHeight="1" x14ac:dyDescent="0.2">
      <c r="A122" s="313">
        <f t="shared" si="3"/>
        <v>116</v>
      </c>
      <c r="B122" s="314" t="str">
        <f t="shared" si="6"/>
        <v>O.K.</v>
      </c>
      <c r="C122" s="356" t="s">
        <v>4308</v>
      </c>
      <c r="D122" s="340"/>
      <c r="E122" s="325">
        <f t="shared" si="7"/>
        <v>0</v>
      </c>
      <c r="F122" s="323">
        <v>0</v>
      </c>
      <c r="G122" s="324">
        <f>IF(PRRAS!D921&gt;PRRAS!D542,1,0)</f>
        <v>0</v>
      </c>
      <c r="H122" s="324">
        <f>IF(PRRAS!E921&gt;PRRAS!E542,1,0)</f>
        <v>0</v>
      </c>
      <c r="U122" s="325">
        <v>32002</v>
      </c>
    </row>
    <row r="123" spans="1:21" ht="18" customHeight="1" x14ac:dyDescent="0.2">
      <c r="A123" s="313">
        <f t="shared" si="3"/>
        <v>117</v>
      </c>
      <c r="B123" s="314" t="str">
        <f t="shared" si="6"/>
        <v>O.K.</v>
      </c>
      <c r="C123" s="356" t="s">
        <v>4309</v>
      </c>
      <c r="D123" s="340"/>
      <c r="E123" s="325">
        <f t="shared" si="7"/>
        <v>0</v>
      </c>
      <c r="F123" s="323">
        <v>0</v>
      </c>
      <c r="G123" s="324">
        <f>IF(PRRAS!D922&gt;PRRAS!D545,1,0)</f>
        <v>0</v>
      </c>
      <c r="H123" s="324">
        <f>IF(PRRAS!E922&gt;PRRAS!E545,1,0)</f>
        <v>0</v>
      </c>
      <c r="U123" s="325">
        <v>32133</v>
      </c>
    </row>
    <row r="124" spans="1:21" ht="18" customHeight="1" x14ac:dyDescent="0.2">
      <c r="A124" s="313">
        <f t="shared" si="3"/>
        <v>118</v>
      </c>
      <c r="B124" s="314" t="str">
        <f t="shared" si="6"/>
        <v>O.K.</v>
      </c>
      <c r="C124" s="356" t="s">
        <v>4310</v>
      </c>
      <c r="D124" s="340"/>
      <c r="E124" s="325">
        <f t="shared" si="7"/>
        <v>0</v>
      </c>
      <c r="F124" s="323">
        <v>0</v>
      </c>
      <c r="G124" s="324">
        <f>IF(PRRAS!D923&gt;PRRAS!D546,1,0)</f>
        <v>0</v>
      </c>
      <c r="H124" s="324">
        <f>IF(PRRAS!E923&gt;PRRAS!E546,1,0)</f>
        <v>0</v>
      </c>
      <c r="U124" s="325">
        <v>32168</v>
      </c>
    </row>
    <row r="125" spans="1:21" ht="18" customHeight="1" x14ac:dyDescent="0.2">
      <c r="A125" s="313">
        <f t="shared" si="3"/>
        <v>119</v>
      </c>
      <c r="B125" s="314" t="str">
        <f t="shared" si="6"/>
        <v>O.K.</v>
      </c>
      <c r="C125" s="356" t="s">
        <v>4311</v>
      </c>
      <c r="D125" s="340"/>
      <c r="E125" s="325">
        <f t="shared" si="7"/>
        <v>0</v>
      </c>
      <c r="F125" s="323">
        <v>0</v>
      </c>
      <c r="G125" s="324">
        <f>IF(PRRAS!D924&gt;PRRAS!D547,1,0)</f>
        <v>0</v>
      </c>
      <c r="H125" s="324">
        <f>IF(PRRAS!E924&gt;PRRAS!E547,1,0)</f>
        <v>0</v>
      </c>
      <c r="U125" s="325">
        <v>32176</v>
      </c>
    </row>
    <row r="126" spans="1:21" ht="18" customHeight="1" x14ac:dyDescent="0.2">
      <c r="A126" s="313">
        <f t="shared" si="3"/>
        <v>120</v>
      </c>
      <c r="B126" s="314" t="str">
        <f t="shared" si="6"/>
        <v>O.K.</v>
      </c>
      <c r="C126" s="356" t="s">
        <v>4312</v>
      </c>
      <c r="D126" s="340"/>
      <c r="E126" s="325">
        <f t="shared" si="7"/>
        <v>0</v>
      </c>
      <c r="F126" s="323">
        <v>0</v>
      </c>
      <c r="G126" s="324">
        <f>IF(ABS(PRRAS!D548-SUM(PRRAS!D925:D926))&gt;1,1,0)</f>
        <v>0</v>
      </c>
      <c r="H126" s="324">
        <f>IF(ABS(PRRAS!E548-SUM(PRRAS!E925:E926))&gt;1,1,0)</f>
        <v>0</v>
      </c>
      <c r="U126" s="325">
        <v>32184</v>
      </c>
    </row>
    <row r="127" spans="1:21" ht="18" customHeight="1" x14ac:dyDescent="0.2">
      <c r="A127" s="313">
        <f t="shared" si="3"/>
        <v>121</v>
      </c>
      <c r="B127" s="314" t="str">
        <f t="shared" si="6"/>
        <v>O.K.</v>
      </c>
      <c r="C127" s="356" t="s">
        <v>4313</v>
      </c>
      <c r="D127" s="340"/>
      <c r="E127" s="325">
        <f t="shared" si="7"/>
        <v>0</v>
      </c>
      <c r="F127" s="323">
        <v>0</v>
      </c>
      <c r="G127" s="324">
        <f>IF(PRRAS!D927&gt;PRRAS!D550,1,0)</f>
        <v>0</v>
      </c>
      <c r="H127" s="324">
        <f>IF(PRRAS!E927&gt;PRRAS!E550,1,0)</f>
        <v>0</v>
      </c>
      <c r="U127" s="325">
        <v>32221</v>
      </c>
    </row>
    <row r="128" spans="1:21" ht="18" customHeight="1" x14ac:dyDescent="0.2">
      <c r="A128" s="313">
        <f t="shared" si="3"/>
        <v>122</v>
      </c>
      <c r="B128" s="314" t="str">
        <f t="shared" si="6"/>
        <v>O.K.</v>
      </c>
      <c r="C128" s="356" t="s">
        <v>2969</v>
      </c>
      <c r="D128" s="340"/>
      <c r="E128" s="325">
        <f t="shared" si="7"/>
        <v>0</v>
      </c>
      <c r="F128" s="323">
        <v>0</v>
      </c>
      <c r="G128" s="324">
        <f>IF(PRRAS!D928&gt;PRRAS!D551,1,0)</f>
        <v>0</v>
      </c>
      <c r="H128" s="324">
        <f>IF(PRRAS!E928&gt;PRRAS!E551,1,0)</f>
        <v>0</v>
      </c>
      <c r="U128" s="325">
        <v>32272</v>
      </c>
    </row>
    <row r="129" spans="1:21" ht="18" customHeight="1" x14ac:dyDescent="0.2">
      <c r="A129" s="313">
        <f t="shared" si="3"/>
        <v>123</v>
      </c>
      <c r="B129" s="314" t="str">
        <f t="shared" si="6"/>
        <v>O.K.</v>
      </c>
      <c r="C129" s="356" t="s">
        <v>2970</v>
      </c>
      <c r="D129" s="340"/>
      <c r="E129" s="325">
        <f t="shared" si="7"/>
        <v>0</v>
      </c>
      <c r="F129" s="323">
        <v>0</v>
      </c>
      <c r="G129" s="324">
        <f>IF(PRRAS!D929&gt;PRRAS!D552,1,0)</f>
        <v>0</v>
      </c>
      <c r="H129" s="324">
        <f>IF(PRRAS!E929&gt;PRRAS!E552,1,0)</f>
        <v>0</v>
      </c>
      <c r="U129" s="325">
        <v>32490</v>
      </c>
    </row>
    <row r="130" spans="1:21" ht="18" customHeight="1" x14ac:dyDescent="0.2">
      <c r="A130" s="313">
        <f t="shared" si="3"/>
        <v>124</v>
      </c>
      <c r="B130" s="314" t="str">
        <f t="shared" si="6"/>
        <v>O.K.</v>
      </c>
      <c r="C130" s="356" t="s">
        <v>2972</v>
      </c>
      <c r="D130" s="340"/>
      <c r="E130" s="325">
        <f t="shared" si="7"/>
        <v>0</v>
      </c>
      <c r="F130" s="323">
        <v>0</v>
      </c>
      <c r="G130" s="324">
        <f>IF(ABS(PRRAS!D557-SUM(PRRAS!D930:D931))&gt;1,1,0)</f>
        <v>0</v>
      </c>
      <c r="H130" s="324">
        <f>IF(ABS(PRRAS!E557-SUM(PRRAS!E930:E931))&gt;1,1,0)</f>
        <v>0</v>
      </c>
      <c r="U130" s="325">
        <v>32504</v>
      </c>
    </row>
    <row r="131" spans="1:21" ht="18" customHeight="1" x14ac:dyDescent="0.2">
      <c r="A131" s="313">
        <f t="shared" si="3"/>
        <v>125</v>
      </c>
      <c r="B131" s="314" t="str">
        <f t="shared" si="6"/>
        <v>O.K.</v>
      </c>
      <c r="C131" s="356" t="s">
        <v>2971</v>
      </c>
      <c r="D131" s="340"/>
      <c r="E131" s="325">
        <f t="shared" si="7"/>
        <v>0</v>
      </c>
      <c r="F131" s="323">
        <v>0</v>
      </c>
      <c r="G131" s="324">
        <f>IF(ABS(PRRAS!D558-SUM(PRRAS!D932:D933))&gt;1,1,0)</f>
        <v>0</v>
      </c>
      <c r="H131" s="324">
        <f>IF(ABS(PRRAS!E558-SUM(PRRAS!E932:E933))&gt;1,1,0)</f>
        <v>0</v>
      </c>
      <c r="U131" s="325">
        <v>32553</v>
      </c>
    </row>
    <row r="132" spans="1:21" ht="18" customHeight="1" x14ac:dyDescent="0.2">
      <c r="A132" s="313">
        <f t="shared" si="3"/>
        <v>126</v>
      </c>
      <c r="B132" s="314" t="str">
        <f t="shared" si="6"/>
        <v>O.K.</v>
      </c>
      <c r="C132" s="356" t="s">
        <v>2973</v>
      </c>
      <c r="D132" s="340"/>
      <c r="E132" s="325">
        <f t="shared" si="7"/>
        <v>0</v>
      </c>
      <c r="F132" s="323">
        <v>0</v>
      </c>
      <c r="G132" s="324">
        <f>IF(ABS(PRRAS!D562-SUM(PRRAS!D934:D935))&gt;1,1,0)</f>
        <v>0</v>
      </c>
      <c r="H132" s="324">
        <f>IF(ABS(PRRAS!E562-SUM(PRRAS!E934:E935))&gt;1,1,0)</f>
        <v>0</v>
      </c>
      <c r="U132" s="325">
        <v>32615</v>
      </c>
    </row>
    <row r="133" spans="1:21" ht="18" customHeight="1" x14ac:dyDescent="0.2">
      <c r="A133" s="313">
        <f t="shared" si="3"/>
        <v>127</v>
      </c>
      <c r="B133" s="314" t="str">
        <f t="shared" si="6"/>
        <v>O.K.</v>
      </c>
      <c r="C133" s="356" t="s">
        <v>2974</v>
      </c>
      <c r="D133" s="340"/>
      <c r="E133" s="325">
        <f t="shared" si="7"/>
        <v>0</v>
      </c>
      <c r="F133" s="323">
        <v>0</v>
      </c>
      <c r="G133" s="324">
        <f>IF(ABS(PRRAS!D563-SUM(PRRAS!D936:D937))&gt;1,1,0)</f>
        <v>0</v>
      </c>
      <c r="H133" s="324">
        <f>IF(ABS(PRRAS!E563-SUM(PRRAS!E936:E937))&gt;1,1,0)</f>
        <v>0</v>
      </c>
      <c r="U133" s="325">
        <v>32867</v>
      </c>
    </row>
    <row r="134" spans="1:21" ht="18" customHeight="1" x14ac:dyDescent="0.2">
      <c r="A134" s="313">
        <f t="shared" si="3"/>
        <v>128</v>
      </c>
      <c r="B134" s="314" t="str">
        <f t="shared" si="6"/>
        <v>O.K.</v>
      </c>
      <c r="C134" s="356" t="s">
        <v>2975</v>
      </c>
      <c r="D134" s="340"/>
      <c r="E134" s="325">
        <f t="shared" si="7"/>
        <v>0</v>
      </c>
      <c r="F134" s="323">
        <v>0</v>
      </c>
      <c r="G134" s="324">
        <f>IF(ABS(PRRAS!D564-SUM(PRRAS!D938:D939))&gt;1,1,0)</f>
        <v>0</v>
      </c>
      <c r="H134" s="324">
        <f>IF(ABS(PRRAS!E564-SUM(PRRAS!E938:E939))&gt;1,1,0)</f>
        <v>0</v>
      </c>
      <c r="U134" s="325">
        <v>32875</v>
      </c>
    </row>
    <row r="135" spans="1:21" ht="18" customHeight="1" x14ac:dyDescent="0.2">
      <c r="A135" s="313">
        <f t="shared" si="3"/>
        <v>129</v>
      </c>
      <c r="B135" s="314" t="str">
        <f t="shared" si="6"/>
        <v>O.K.</v>
      </c>
      <c r="C135" s="356" t="s">
        <v>2976</v>
      </c>
      <c r="D135" s="340"/>
      <c r="E135" s="325">
        <f t="shared" si="7"/>
        <v>0</v>
      </c>
      <c r="F135" s="323">
        <v>0</v>
      </c>
      <c r="G135" s="324">
        <f>IF(ABS(PRRAS!D565-SUM(PRRAS!D940:D941))&gt;1,1,0)</f>
        <v>0</v>
      </c>
      <c r="H135" s="324">
        <f>IF(ABS(PRRAS!E565-SUM(PRRAS!E940:E941))&gt;1,1,0)</f>
        <v>0</v>
      </c>
      <c r="U135" s="325">
        <v>32980</v>
      </c>
    </row>
    <row r="136" spans="1:21" ht="18" customHeight="1" x14ac:dyDescent="0.2">
      <c r="A136" s="313">
        <f t="shared" si="3"/>
        <v>130</v>
      </c>
      <c r="B136" s="314" t="str">
        <f t="shared" si="6"/>
        <v>O.K.</v>
      </c>
      <c r="C136" s="356" t="s">
        <v>2977</v>
      </c>
      <c r="D136" s="340"/>
      <c r="E136" s="325">
        <f t="shared" si="7"/>
        <v>0</v>
      </c>
      <c r="F136" s="323">
        <v>0</v>
      </c>
      <c r="G136" s="324">
        <f>IF(ABS(PRRAS!D566-SUM(PRRAS!D942:D943))&gt;1,1,0)</f>
        <v>0</v>
      </c>
      <c r="H136" s="324">
        <f>IF(ABS(PRRAS!E566-SUM(PRRAS!E942:E943))&gt;1,1,0)</f>
        <v>0</v>
      </c>
      <c r="U136" s="325">
        <v>32998</v>
      </c>
    </row>
    <row r="137" spans="1:21" ht="18" customHeight="1" x14ac:dyDescent="0.2">
      <c r="A137" s="313">
        <f t="shared" si="3"/>
        <v>131</v>
      </c>
      <c r="B137" s="314" t="str">
        <f t="shared" si="6"/>
        <v>O.K.</v>
      </c>
      <c r="C137" s="356" t="s">
        <v>2978</v>
      </c>
      <c r="D137" s="340"/>
      <c r="E137" s="325">
        <f t="shared" si="7"/>
        <v>0</v>
      </c>
      <c r="F137" s="323">
        <v>0</v>
      </c>
      <c r="G137" s="324">
        <f>IF(ABS(PRRAS!D567-SUM(PRRAS!D944:D945))&gt;1,1,0)</f>
        <v>0</v>
      </c>
      <c r="H137" s="324">
        <f>IF(ABS(PRRAS!E567-SUM(PRRAS!E944:E945))&gt;1,1,0)</f>
        <v>0</v>
      </c>
      <c r="U137" s="325">
        <v>33013</v>
      </c>
    </row>
    <row r="138" spans="1:21" ht="18" customHeight="1" x14ac:dyDescent="0.2">
      <c r="A138" s="313">
        <f t="shared" si="3"/>
        <v>132</v>
      </c>
      <c r="B138" s="314" t="str">
        <f t="shared" si="6"/>
        <v>O.K.</v>
      </c>
      <c r="C138" s="356" t="s">
        <v>3054</v>
      </c>
      <c r="D138" s="340"/>
      <c r="E138" s="325">
        <f t="shared" si="7"/>
        <v>0</v>
      </c>
      <c r="F138" s="323">
        <v>0</v>
      </c>
      <c r="G138" s="324">
        <f>IF(ABS(PRRAS!D568-SUM(PRRAS!D946:D947))&gt;1,1,0)</f>
        <v>0</v>
      </c>
      <c r="H138" s="324">
        <f>IF(ABS(PRRAS!E568-SUM(PRRAS!E946:E947))&gt;1,1,0)</f>
        <v>0</v>
      </c>
      <c r="U138" s="325">
        <v>33021</v>
      </c>
    </row>
    <row r="139" spans="1:21" ht="18" customHeight="1" x14ac:dyDescent="0.2">
      <c r="A139" s="313">
        <f t="shared" si="3"/>
        <v>133</v>
      </c>
      <c r="B139" s="314" t="str">
        <f t="shared" si="6"/>
        <v>O.K.</v>
      </c>
      <c r="C139" s="356" t="s">
        <v>3055</v>
      </c>
      <c r="D139" s="340"/>
      <c r="E139" s="325">
        <f t="shared" si="7"/>
        <v>0</v>
      </c>
      <c r="F139" s="323">
        <v>0</v>
      </c>
      <c r="G139" s="324">
        <f>IF(PRRAS!D948&gt;PRRAS!D601,1,0)</f>
        <v>0</v>
      </c>
      <c r="H139" s="324">
        <f>IF(PRRAS!E948&gt;PRRAS!E601,1,0)</f>
        <v>0</v>
      </c>
      <c r="U139" s="325">
        <v>33030</v>
      </c>
    </row>
    <row r="140" spans="1:21" ht="18" customHeight="1" x14ac:dyDescent="0.2">
      <c r="A140" s="313">
        <f t="shared" si="3"/>
        <v>134</v>
      </c>
      <c r="B140" s="314" t="str">
        <f t="shared" si="6"/>
        <v>O.K.</v>
      </c>
      <c r="C140" s="356" t="s">
        <v>3056</v>
      </c>
      <c r="D140" s="340"/>
      <c r="E140" s="325">
        <f t="shared" si="7"/>
        <v>0</v>
      </c>
      <c r="F140" s="323">
        <v>0</v>
      </c>
      <c r="G140" s="324">
        <f>IF(PRRAS!D949&gt;PRRAS!D602,1,0)</f>
        <v>0</v>
      </c>
      <c r="H140" s="324">
        <f>IF(PRRAS!E949&gt;PRRAS!E602,1,0)</f>
        <v>0</v>
      </c>
      <c r="U140" s="325">
        <v>33048</v>
      </c>
    </row>
    <row r="141" spans="1:21" ht="18" customHeight="1" x14ac:dyDescent="0.2">
      <c r="A141" s="313">
        <f t="shared" si="3"/>
        <v>135</v>
      </c>
      <c r="B141" s="314" t="str">
        <f t="shared" si="6"/>
        <v>O.K.</v>
      </c>
      <c r="C141" s="356" t="s">
        <v>3057</v>
      </c>
      <c r="D141" s="340"/>
      <c r="E141" s="325">
        <f t="shared" si="7"/>
        <v>0</v>
      </c>
      <c r="F141" s="323">
        <v>0</v>
      </c>
      <c r="G141" s="324">
        <f>IF(PRRAS!D950&gt;PRRAS!D603,1,0)</f>
        <v>0</v>
      </c>
      <c r="H141" s="324">
        <f>IF(PRRAS!E950&gt;PRRAS!E603,1,0)</f>
        <v>0</v>
      </c>
      <c r="U141" s="325">
        <v>33097</v>
      </c>
    </row>
    <row r="142" spans="1:21" ht="18" customHeight="1" x14ac:dyDescent="0.2">
      <c r="A142" s="313">
        <f t="shared" si="3"/>
        <v>136</v>
      </c>
      <c r="B142" s="314" t="str">
        <f t="shared" si="6"/>
        <v>O.K.</v>
      </c>
      <c r="C142" s="356" t="s">
        <v>3058</v>
      </c>
      <c r="D142" s="340"/>
      <c r="E142" s="325">
        <f t="shared" si="7"/>
        <v>0</v>
      </c>
      <c r="F142" s="323">
        <v>0</v>
      </c>
      <c r="G142" s="324">
        <f>IF(PRRAS!D951&gt;PRRAS!D604,1,0)</f>
        <v>0</v>
      </c>
      <c r="H142" s="324">
        <f>IF(PRRAS!E951&gt;PRRAS!E604,1,0)</f>
        <v>0</v>
      </c>
      <c r="U142" s="325">
        <v>33101</v>
      </c>
    </row>
    <row r="143" spans="1:21" ht="18" customHeight="1" x14ac:dyDescent="0.2">
      <c r="A143" s="313">
        <f t="shared" si="3"/>
        <v>137</v>
      </c>
      <c r="B143" s="314" t="str">
        <f t="shared" si="6"/>
        <v>O.K.</v>
      </c>
      <c r="C143" s="356" t="s">
        <v>3059</v>
      </c>
      <c r="D143" s="340"/>
      <c r="E143" s="325">
        <f t="shared" si="7"/>
        <v>0</v>
      </c>
      <c r="F143" s="323">
        <v>0</v>
      </c>
      <c r="G143" s="324">
        <f>IF(SUM(PRRAS!D952:D954)&gt;PRRAS!D606,1,0)</f>
        <v>0</v>
      </c>
      <c r="H143" s="324">
        <f>IF(SUM(PRRAS!E952:E954)&gt;PRRAS!E606,1,0)</f>
        <v>0</v>
      </c>
      <c r="U143" s="325">
        <v>33312</v>
      </c>
    </row>
    <row r="144" spans="1:21" ht="18" customHeight="1" x14ac:dyDescent="0.2">
      <c r="A144" s="313">
        <f t="shared" si="3"/>
        <v>138</v>
      </c>
      <c r="B144" s="314" t="str">
        <f t="shared" ref="B144:B215" si="8">IF(E144=1,"Pogreška",IF(F144=1,"Provjera","O.K."))</f>
        <v>O.K.</v>
      </c>
      <c r="C144" s="356" t="s">
        <v>3060</v>
      </c>
      <c r="D144" s="340"/>
      <c r="E144" s="325">
        <f t="shared" si="7"/>
        <v>0</v>
      </c>
      <c r="F144" s="323">
        <v>0</v>
      </c>
      <c r="G144" s="324">
        <f>IF(PRRAS!D955&gt;PRRAS!D607,1,0)</f>
        <v>0</v>
      </c>
      <c r="H144" s="324">
        <f>IF(PRRAS!E955&gt;PRRAS!E607,1,0)</f>
        <v>0</v>
      </c>
      <c r="U144" s="325">
        <v>33329</v>
      </c>
    </row>
    <row r="145" spans="1:21" ht="18" customHeight="1" x14ac:dyDescent="0.2">
      <c r="A145" s="313">
        <f t="shared" si="3"/>
        <v>139</v>
      </c>
      <c r="B145" s="314" t="str">
        <f t="shared" si="8"/>
        <v>O.K.</v>
      </c>
      <c r="C145" s="356" t="s">
        <v>3061</v>
      </c>
      <c r="D145" s="340"/>
      <c r="E145" s="325">
        <f t="shared" si="7"/>
        <v>0</v>
      </c>
      <c r="F145" s="323">
        <v>0</v>
      </c>
      <c r="G145" s="324">
        <f>IF(PRRAS!D956+PRRAS!D957&gt;PRRAS!D608,1,0)</f>
        <v>0</v>
      </c>
      <c r="H145" s="324">
        <f>IF(PRRAS!E956+PRRAS!E957&gt;PRRAS!E608,1,0)</f>
        <v>0</v>
      </c>
      <c r="U145" s="325">
        <v>33337</v>
      </c>
    </row>
    <row r="146" spans="1:21" ht="18" customHeight="1" x14ac:dyDescent="0.2">
      <c r="A146" s="313">
        <f t="shared" si="3"/>
        <v>140</v>
      </c>
      <c r="B146" s="314" t="str">
        <f t="shared" si="8"/>
        <v>O.K.</v>
      </c>
      <c r="C146" s="356" t="s">
        <v>3062</v>
      </c>
      <c r="D146" s="340"/>
      <c r="E146" s="325">
        <f t="shared" si="7"/>
        <v>0</v>
      </c>
      <c r="F146" s="323">
        <v>0</v>
      </c>
      <c r="G146" s="324">
        <f>IF(PRRAS!D958&gt;PRRAS!D610,1,0)</f>
        <v>0</v>
      </c>
      <c r="H146" s="324">
        <f>IF(PRRAS!E958&gt;PRRAS!E610,1,0)</f>
        <v>0</v>
      </c>
      <c r="U146" s="325">
        <v>33361</v>
      </c>
    </row>
    <row r="147" spans="1:21" ht="18" customHeight="1" x14ac:dyDescent="0.2">
      <c r="A147" s="313">
        <f t="shared" si="3"/>
        <v>141</v>
      </c>
      <c r="B147" s="314" t="str">
        <f t="shared" si="8"/>
        <v>O.K.</v>
      </c>
      <c r="C147" s="356" t="s">
        <v>3063</v>
      </c>
      <c r="D147" s="340"/>
      <c r="E147" s="325">
        <f t="shared" si="7"/>
        <v>0</v>
      </c>
      <c r="F147" s="323">
        <v>0</v>
      </c>
      <c r="G147" s="324">
        <f>IF(SUM(PRRAS!D959:D961)&gt;PRRAS!D612,1,0)</f>
        <v>0</v>
      </c>
      <c r="H147" s="324">
        <f>IF(SUM(PRRAS!E959:E961)&gt;PRRAS!E612,1,0)</f>
        <v>0</v>
      </c>
      <c r="U147" s="325">
        <v>33370</v>
      </c>
    </row>
    <row r="148" spans="1:21" ht="18" customHeight="1" x14ac:dyDescent="0.2">
      <c r="A148" s="313">
        <f t="shared" si="3"/>
        <v>142</v>
      </c>
      <c r="B148" s="314" t="str">
        <f t="shared" si="8"/>
        <v>O.K.</v>
      </c>
      <c r="C148" s="356" t="s">
        <v>3064</v>
      </c>
      <c r="D148" s="340"/>
      <c r="E148" s="325">
        <f t="shared" si="7"/>
        <v>0</v>
      </c>
      <c r="F148" s="323">
        <v>0</v>
      </c>
      <c r="G148" s="324">
        <f>IF(PRRAS!D962&gt;PRRAS!D613,1,0)</f>
        <v>0</v>
      </c>
      <c r="H148" s="324">
        <f>IF(PRRAS!E962&gt;PRRAS!E613,1,0)</f>
        <v>0</v>
      </c>
      <c r="U148" s="325">
        <v>33407</v>
      </c>
    </row>
    <row r="149" spans="1:21" ht="18" customHeight="1" x14ac:dyDescent="0.2">
      <c r="A149" s="313">
        <f t="shared" si="3"/>
        <v>143</v>
      </c>
      <c r="B149" s="314" t="str">
        <f t="shared" si="8"/>
        <v>O.K.</v>
      </c>
      <c r="C149" s="356" t="s">
        <v>3065</v>
      </c>
      <c r="D149" s="340"/>
      <c r="E149" s="325">
        <f t="shared" si="7"/>
        <v>0</v>
      </c>
      <c r="F149" s="323">
        <v>0</v>
      </c>
      <c r="G149" s="324">
        <f>IF(SUM(PRRAS!D963:D964)&gt;PRRAS!D614,1,0)</f>
        <v>0</v>
      </c>
      <c r="H149" s="324">
        <f>IF(SUM(PRRAS!E963:E964)&gt;PRRAS!E614,1,0)</f>
        <v>0</v>
      </c>
      <c r="U149" s="325">
        <v>33499</v>
      </c>
    </row>
    <row r="150" spans="1:21" ht="18" customHeight="1" x14ac:dyDescent="0.2">
      <c r="A150" s="313">
        <f t="shared" si="3"/>
        <v>144</v>
      </c>
      <c r="B150" s="314" t="str">
        <f t="shared" si="8"/>
        <v>O.K.</v>
      </c>
      <c r="C150" s="356" t="s">
        <v>3066</v>
      </c>
      <c r="D150" s="340"/>
      <c r="E150" s="325">
        <f t="shared" si="7"/>
        <v>0</v>
      </c>
      <c r="F150" s="323">
        <v>0</v>
      </c>
      <c r="G150" s="324">
        <f>IF(SUM(PRRAS!D965:D967)&gt;PRRAS!D615,1,0)</f>
        <v>0</v>
      </c>
      <c r="H150" s="324">
        <f>IF(SUM(PRRAS!E965:E967)&gt;PRRAS!E615,1,0)</f>
        <v>0</v>
      </c>
      <c r="U150" s="325">
        <v>33520</v>
      </c>
    </row>
    <row r="151" spans="1:21" ht="18" customHeight="1" x14ac:dyDescent="0.2">
      <c r="A151" s="313">
        <f t="shared" si="3"/>
        <v>145</v>
      </c>
      <c r="B151" s="314" t="str">
        <f t="shared" si="8"/>
        <v>O.K.</v>
      </c>
      <c r="C151" s="356" t="s">
        <v>3067</v>
      </c>
      <c r="D151" s="340"/>
      <c r="E151" s="325">
        <f t="shared" si="7"/>
        <v>0</v>
      </c>
      <c r="F151" s="323">
        <v>0</v>
      </c>
      <c r="G151" s="324">
        <f>IF(PRRAS!D968&gt;PRRAS!D616,1,0)</f>
        <v>0</v>
      </c>
      <c r="H151" s="324">
        <f>IF(PRRAS!E968&gt;PRRAS!E616,1,0)</f>
        <v>0</v>
      </c>
      <c r="U151" s="325">
        <v>33538</v>
      </c>
    </row>
    <row r="152" spans="1:21" ht="18" customHeight="1" x14ac:dyDescent="0.2">
      <c r="A152" s="313">
        <f t="shared" si="3"/>
        <v>146</v>
      </c>
      <c r="B152" s="314" t="str">
        <f t="shared" si="8"/>
        <v>O.K.</v>
      </c>
      <c r="C152" s="356" t="s">
        <v>3068</v>
      </c>
      <c r="D152" s="340"/>
      <c r="E152" s="325">
        <f t="shared" si="7"/>
        <v>0</v>
      </c>
      <c r="F152" s="323">
        <v>0</v>
      </c>
      <c r="G152" s="324">
        <f>IF(SUM(PRRAS!D969:D970)&gt;PRRAS!D617,1,0)</f>
        <v>0</v>
      </c>
      <c r="H152" s="324">
        <f>IF(SUM(PRRAS!E969:E970)&gt;PRRAS!E617,1,0)</f>
        <v>0</v>
      </c>
      <c r="U152" s="325">
        <v>33579</v>
      </c>
    </row>
    <row r="153" spans="1:21" ht="18" customHeight="1" x14ac:dyDescent="0.2">
      <c r="A153" s="313">
        <f t="shared" si="3"/>
        <v>147</v>
      </c>
      <c r="B153" s="314" t="str">
        <f t="shared" si="8"/>
        <v>O.K.</v>
      </c>
      <c r="C153" s="356" t="s">
        <v>3069</v>
      </c>
      <c r="D153" s="340"/>
      <c r="E153" s="325">
        <f t="shared" si="7"/>
        <v>0</v>
      </c>
      <c r="F153" s="323">
        <v>0</v>
      </c>
      <c r="G153" s="324">
        <f>IF(PRRAS!D971&gt;PRRAS!D619,1,0)</f>
        <v>0</v>
      </c>
      <c r="H153" s="324">
        <f>IF(PRRAS!E971&gt;PRRAS!E619,1,0)</f>
        <v>0</v>
      </c>
      <c r="U153" s="325">
        <v>33600</v>
      </c>
    </row>
    <row r="154" spans="1:21" ht="18" customHeight="1" x14ac:dyDescent="0.2">
      <c r="A154" s="313">
        <f t="shared" si="3"/>
        <v>148</v>
      </c>
      <c r="B154" s="314" t="str">
        <f t="shared" si="8"/>
        <v>O.K.</v>
      </c>
      <c r="C154" s="357" t="s">
        <v>3070</v>
      </c>
      <c r="D154" s="340"/>
      <c r="E154" s="325">
        <f t="shared" si="7"/>
        <v>0</v>
      </c>
      <c r="F154" s="323">
        <v>0</v>
      </c>
      <c r="G154" s="324">
        <f>IF(PRRAS!D972&gt;PRRAS!D620,1,0)</f>
        <v>0</v>
      </c>
      <c r="H154" s="324">
        <f>IF(PRRAS!E972&gt;PRRAS!E620,1,0)</f>
        <v>0</v>
      </c>
      <c r="U154" s="325">
        <v>33618</v>
      </c>
    </row>
    <row r="155" spans="1:21" ht="18" customHeight="1" x14ac:dyDescent="0.2">
      <c r="A155" s="313">
        <f t="shared" si="3"/>
        <v>149</v>
      </c>
      <c r="B155" s="314" t="str">
        <f t="shared" si="8"/>
        <v>O.K.</v>
      </c>
      <c r="C155" s="356" t="s">
        <v>3071</v>
      </c>
      <c r="D155" s="340"/>
      <c r="E155" s="325">
        <f t="shared" si="7"/>
        <v>0</v>
      </c>
      <c r="F155" s="323">
        <v>0</v>
      </c>
      <c r="G155" s="324">
        <f>IF(PRRAS!D973&gt;PRRAS!D621,1,0)</f>
        <v>0</v>
      </c>
      <c r="H155" s="324">
        <f>IF(PRRAS!E973&gt;PRRAS!E621,1,0)</f>
        <v>0</v>
      </c>
      <c r="I155" s="341"/>
      <c r="J155" s="341"/>
      <c r="U155" s="325">
        <v>33860</v>
      </c>
    </row>
    <row r="156" spans="1:21" ht="18" customHeight="1" x14ac:dyDescent="0.2">
      <c r="A156" s="313">
        <f t="shared" si="3"/>
        <v>150</v>
      </c>
      <c r="B156" s="314" t="str">
        <f t="shared" si="8"/>
        <v>O.K.</v>
      </c>
      <c r="C156" s="356" t="s">
        <v>3072</v>
      </c>
      <c r="D156" s="340"/>
      <c r="E156" s="325">
        <f t="shared" si="7"/>
        <v>0</v>
      </c>
      <c r="F156" s="323">
        <v>0</v>
      </c>
      <c r="G156" s="324">
        <f>IF(ABS(PRRAS!D624-SUM(PRRAS!D974:D975))&gt;1,1,0)</f>
        <v>0</v>
      </c>
      <c r="H156" s="324">
        <f>IF(ABS(PRRAS!E624-SUM(PRRAS!E974:E975))&gt;1,1,0)</f>
        <v>0</v>
      </c>
      <c r="I156" s="341"/>
      <c r="J156" s="341"/>
      <c r="U156" s="325">
        <v>33878</v>
      </c>
    </row>
    <row r="157" spans="1:21" ht="18" customHeight="1" x14ac:dyDescent="0.2">
      <c r="A157" s="313">
        <f t="shared" ref="A157:A163" si="9">1+A156</f>
        <v>151</v>
      </c>
      <c r="B157" s="314" t="str">
        <f t="shared" si="8"/>
        <v>O.K.</v>
      </c>
      <c r="C157" s="356" t="s">
        <v>3073</v>
      </c>
      <c r="D157" s="340"/>
      <c r="E157" s="325">
        <f t="shared" si="7"/>
        <v>0</v>
      </c>
      <c r="F157" s="323">
        <v>0</v>
      </c>
      <c r="G157" s="324">
        <f>IF(ABS(PRRAS!D625-SUM(PRRAS!D976:D977))&gt;1,1,0)</f>
        <v>0</v>
      </c>
      <c r="H157" s="324">
        <f>IF(ABS(PRRAS!E625-SUM(PRRAS!E976:E977))&gt;1,1,0)</f>
        <v>0</v>
      </c>
      <c r="U157" s="325">
        <v>33886</v>
      </c>
    </row>
    <row r="158" spans="1:21" ht="18" customHeight="1" x14ac:dyDescent="0.2">
      <c r="A158" s="313">
        <f t="shared" si="9"/>
        <v>152</v>
      </c>
      <c r="B158" s="314" t="str">
        <f t="shared" si="8"/>
        <v>O.K.</v>
      </c>
      <c r="C158" s="356" t="s">
        <v>3074</v>
      </c>
      <c r="D158" s="340"/>
      <c r="E158" s="325">
        <f t="shared" si="7"/>
        <v>0</v>
      </c>
      <c r="F158" s="323">
        <v>0</v>
      </c>
      <c r="G158" s="324">
        <f>IF(ABS(PRRAS!D626-SUM(PRRAS!D978:D979))&gt;1,1,0)</f>
        <v>0</v>
      </c>
      <c r="H158" s="324">
        <f>IF(ABS(PRRAS!E626-SUM(PRRAS!E978:E979))&gt;1,1,0)</f>
        <v>0</v>
      </c>
      <c r="I158" s="341"/>
      <c r="J158" s="341"/>
      <c r="U158" s="325">
        <v>33894</v>
      </c>
    </row>
    <row r="159" spans="1:21" ht="18" customHeight="1" x14ac:dyDescent="0.2">
      <c r="A159" s="313">
        <f t="shared" si="9"/>
        <v>153</v>
      </c>
      <c r="B159" s="314" t="str">
        <f t="shared" si="8"/>
        <v>O.K.</v>
      </c>
      <c r="C159" s="356" t="s">
        <v>3075</v>
      </c>
      <c r="D159" s="340"/>
      <c r="E159" s="325">
        <f t="shared" si="7"/>
        <v>0</v>
      </c>
      <c r="F159" s="323">
        <v>0</v>
      </c>
      <c r="G159" s="324">
        <f>IF(ABS(PRRAS!D627-SUM(PRRAS!D980:D981))&gt;1,1,0)</f>
        <v>0</v>
      </c>
      <c r="H159" s="324">
        <f>IF(ABS(PRRAS!E627-SUM(PRRAS!E980:E981))&gt;1,1,0)</f>
        <v>0</v>
      </c>
      <c r="I159" s="341"/>
      <c r="J159" s="341"/>
      <c r="U159" s="325">
        <v>33925</v>
      </c>
    </row>
    <row r="160" spans="1:21" ht="18" customHeight="1" x14ac:dyDescent="0.2">
      <c r="A160" s="313">
        <f t="shared" si="9"/>
        <v>154</v>
      </c>
      <c r="B160" s="314" t="str">
        <f t="shared" si="8"/>
        <v>O.K.</v>
      </c>
      <c r="C160" s="356" t="s">
        <v>3076</v>
      </c>
      <c r="D160" s="340"/>
      <c r="E160" s="325">
        <f t="shared" si="7"/>
        <v>0</v>
      </c>
      <c r="F160" s="323">
        <v>0</v>
      </c>
      <c r="G160" s="324">
        <f>IF(ABS(PRRAS!D628-SUM(PRRAS!D982:D983))&gt;1,1,0)</f>
        <v>0</v>
      </c>
      <c r="H160" s="324">
        <f>IF(ABS(PRRAS!E628-SUM(PRRAS!E982:E983))&gt;1,1,0)</f>
        <v>0</v>
      </c>
      <c r="U160" s="325">
        <v>34282</v>
      </c>
    </row>
    <row r="161" spans="1:21" ht="18" customHeight="1" x14ac:dyDescent="0.2">
      <c r="A161" s="313">
        <f t="shared" si="9"/>
        <v>155</v>
      </c>
      <c r="B161" s="314" t="str">
        <f t="shared" si="8"/>
        <v>O.K.</v>
      </c>
      <c r="C161" s="356" t="s">
        <v>3077</v>
      </c>
      <c r="D161" s="340"/>
      <c r="E161" s="325">
        <f t="shared" si="7"/>
        <v>0</v>
      </c>
      <c r="F161" s="323">
        <v>0</v>
      </c>
      <c r="G161" s="324">
        <f>IF(ABS(PRRAS!D629-SUM(PRRAS!D984:D985))&gt;1,1,0)</f>
        <v>0</v>
      </c>
      <c r="H161" s="324">
        <f>IF(ABS(PRRAS!E629-SUM(PRRAS!E984:E985))&gt;1,1,0)</f>
        <v>0</v>
      </c>
      <c r="I161" s="341"/>
      <c r="J161" s="341"/>
      <c r="U161" s="325">
        <v>34387</v>
      </c>
    </row>
    <row r="162" spans="1:21" ht="18" customHeight="1" x14ac:dyDescent="0.2">
      <c r="A162" s="313">
        <f t="shared" si="9"/>
        <v>156</v>
      </c>
      <c r="B162" s="314" t="str">
        <f t="shared" si="8"/>
        <v>O.K.</v>
      </c>
      <c r="C162" s="356" t="s">
        <v>3078</v>
      </c>
      <c r="D162" s="340"/>
      <c r="E162" s="325">
        <f t="shared" si="7"/>
        <v>0</v>
      </c>
      <c r="F162" s="323">
        <v>0</v>
      </c>
      <c r="G162" s="324">
        <f>IF(ABS(PRRAS!D630-SUM(PRRAS!D986:D987))&gt;1,1,0)</f>
        <v>0</v>
      </c>
      <c r="H162" s="324">
        <f>IF(ABS(PRRAS!E630-SUM(PRRAS!E986:E987))&gt;1,1,0)</f>
        <v>0</v>
      </c>
      <c r="I162" s="341"/>
      <c r="J162" s="341"/>
      <c r="U162" s="325">
        <v>34418</v>
      </c>
    </row>
    <row r="163" spans="1:21" ht="18" customHeight="1" x14ac:dyDescent="0.2">
      <c r="A163" s="313">
        <f t="shared" si="9"/>
        <v>157</v>
      </c>
      <c r="B163" s="314" t="str">
        <f t="shared" si="8"/>
        <v>O.K.</v>
      </c>
      <c r="C163" s="356" t="s">
        <v>3079</v>
      </c>
      <c r="D163" s="340"/>
      <c r="E163" s="325">
        <f t="shared" si="7"/>
        <v>0</v>
      </c>
      <c r="F163" s="323">
        <v>0</v>
      </c>
      <c r="G163" s="324">
        <f>IF(PRRAS!D988&gt;PRRAS!D639,1,0)</f>
        <v>0</v>
      </c>
      <c r="H163" s="324">
        <f>IF(PRRAS!E988&gt;PRRAS!E639,1,0)</f>
        <v>0</v>
      </c>
      <c r="U163" s="325">
        <v>34426</v>
      </c>
    </row>
    <row r="164" spans="1:21" ht="30" customHeight="1" x14ac:dyDescent="0.2">
      <c r="A164" s="313">
        <f t="shared" ref="A164:A191" si="10">1+A163</f>
        <v>158</v>
      </c>
      <c r="B164" s="314" t="str">
        <f t="shared" si="8"/>
        <v>O.K.</v>
      </c>
      <c r="C164" s="356" t="s">
        <v>3785</v>
      </c>
      <c r="D164" s="340"/>
      <c r="E164" s="325">
        <f t="shared" si="7"/>
        <v>0</v>
      </c>
      <c r="F164" s="323">
        <v>0</v>
      </c>
      <c r="G164" s="324">
        <f>IF(MIN(Skriveni!C4:D4,Skriveni!C13:D13)&lt;0,1,0)</f>
        <v>0</v>
      </c>
      <c r="U164" s="325">
        <v>34434</v>
      </c>
    </row>
    <row r="165" spans="1:21" ht="36" customHeight="1" x14ac:dyDescent="0.2">
      <c r="A165" s="313">
        <f t="shared" si="10"/>
        <v>159</v>
      </c>
      <c r="B165" s="314" t="str">
        <f t="shared" si="8"/>
        <v>O.K.</v>
      </c>
      <c r="C165" s="356" t="s">
        <v>2709</v>
      </c>
      <c r="D165" s="340"/>
      <c r="E165" s="325">
        <f t="shared" si="7"/>
        <v>0</v>
      </c>
      <c r="F165" s="323">
        <v>0</v>
      </c>
      <c r="G165" s="324">
        <f>IF(H165=0,0,1)</f>
        <v>0</v>
      </c>
      <c r="H165" s="324">
        <f>SUM(Skriveni!H2:H983)</f>
        <v>0</v>
      </c>
      <c r="U165" s="325">
        <v>34555</v>
      </c>
    </row>
    <row r="166" spans="1:21" ht="35.25" customHeight="1" x14ac:dyDescent="0.2">
      <c r="A166" s="313">
        <f t="shared" si="10"/>
        <v>160</v>
      </c>
      <c r="B166" s="314" t="str">
        <f t="shared" si="8"/>
        <v>O.K.</v>
      </c>
      <c r="C166" s="357" t="s">
        <v>3397</v>
      </c>
      <c r="D166" s="340"/>
      <c r="E166" s="325">
        <f t="shared" si="7"/>
        <v>0</v>
      </c>
      <c r="F166" s="323">
        <v>0</v>
      </c>
      <c r="G166" s="324">
        <f>IF(AND($I$3=11,$O$3&lt;&gt;47123,OR(MAX(PRRAS!D14:E21)&gt;0,MIN(PRRAS!D14:E21)&lt;0)),1,0)</f>
        <v>0</v>
      </c>
      <c r="U166" s="325">
        <v>34571</v>
      </c>
    </row>
    <row r="167" spans="1:21" ht="48" customHeight="1" x14ac:dyDescent="0.2">
      <c r="A167" s="313">
        <f t="shared" si="10"/>
        <v>161</v>
      </c>
      <c r="B167" s="314" t="str">
        <f t="shared" si="8"/>
        <v>O.K.</v>
      </c>
      <c r="C167" s="357" t="s">
        <v>3262</v>
      </c>
      <c r="D167" s="340"/>
      <c r="E167" s="325">
        <f>MAX(G167:L167)</f>
        <v>0</v>
      </c>
      <c r="F167" s="323">
        <v>0</v>
      </c>
      <c r="G167" s="324">
        <f>IF(AND($I$3=11,MAX(PRRAS!D35:E35,PRRAS!D42:E42)&gt;0,T6=0),1,0)</f>
        <v>0</v>
      </c>
      <c r="U167" s="325">
        <v>34651</v>
      </c>
    </row>
    <row r="168" spans="1:21" ht="48.75" customHeight="1" x14ac:dyDescent="0.2">
      <c r="A168" s="313">
        <f t="shared" si="10"/>
        <v>162</v>
      </c>
      <c r="B168" s="314" t="str">
        <f t="shared" si="8"/>
        <v>O.K.</v>
      </c>
      <c r="C168" s="357" t="s">
        <v>4301</v>
      </c>
      <c r="D168" s="340"/>
      <c r="E168" s="325">
        <f>MAX(G168:L168)</f>
        <v>0</v>
      </c>
      <c r="F168" s="323">
        <v>0</v>
      </c>
      <c r="G168" s="324">
        <f>IF(AND($I$3=11,MAX(PRRAS!D22:E34,PRRAS!D36:E41,PRRAS!D43:E45,PRRAS!D51:E55,PRRAS!D147:E147,PRRAS!D246:E249,PRRAS!D260:E260)&gt;0),1,0)</f>
        <v>0</v>
      </c>
      <c r="I168" s="342"/>
      <c r="U168" s="325">
        <v>34725</v>
      </c>
    </row>
    <row r="169" spans="1:21" ht="48.75" customHeight="1" x14ac:dyDescent="0.2">
      <c r="A169" s="313">
        <f t="shared" si="10"/>
        <v>163</v>
      </c>
      <c r="B169" s="314" t="str">
        <f t="shared" si="8"/>
        <v>O.K.</v>
      </c>
      <c r="C169" s="357" t="s">
        <v>4302</v>
      </c>
      <c r="D169" s="340"/>
      <c r="E169" s="325">
        <f>MAX(G169:L169)</f>
        <v>0</v>
      </c>
      <c r="F169" s="323">
        <v>0</v>
      </c>
      <c r="G169" s="324">
        <f>IF(AND($I$3=11,MAX(PRRAS!D209:E209)&gt;0,$O$3&lt;&gt;51255,$O$3&lt;&gt;51263,$O$3&lt;&gt;51343,$O$3&lt;&gt;51319,$O$3&lt;&gt;51298,$O$3&lt;&gt;51302,$O$3&lt;&gt;51327,$O$3&lt;&gt;51335,$O$3&lt;&gt;51280,$O$3&lt;&gt;51271),1,0)</f>
        <v>0</v>
      </c>
      <c r="I169" s="342"/>
    </row>
    <row r="170" spans="1:21" ht="36" customHeight="1" x14ac:dyDescent="0.2">
      <c r="A170" s="313">
        <f t="shared" si="10"/>
        <v>164</v>
      </c>
      <c r="B170" s="314" t="str">
        <f t="shared" si="8"/>
        <v>O.K.</v>
      </c>
      <c r="C170" s="357" t="s">
        <v>3398</v>
      </c>
      <c r="D170" s="340"/>
      <c r="E170" s="325">
        <f>MAX(G170:L170)</f>
        <v>0</v>
      </c>
      <c r="F170" s="323">
        <v>0</v>
      </c>
      <c r="G170" s="324">
        <f>IF(AND($I$3=11,$O$3&lt;&gt;47107,MAX(PRRAS!D261:E261)&gt;0),1,0)</f>
        <v>0</v>
      </c>
      <c r="H170" s="324">
        <f>IF(AND($I$3=11,O5&lt;&gt;47107,MIN(PRRAS!D261:E261)&lt;0),1,0)</f>
        <v>0</v>
      </c>
      <c r="I170" s="342"/>
      <c r="U170" s="325">
        <v>34872</v>
      </c>
    </row>
    <row r="171" spans="1:21" ht="50.1" customHeight="1" x14ac:dyDescent="0.2">
      <c r="A171" s="313">
        <f t="shared" si="10"/>
        <v>165</v>
      </c>
      <c r="B171" s="314" t="str">
        <f t="shared" ref="B171:B177" si="11">IF(E171=1,"Pogreška",IF(F171=1,"Provjera","O.K."))</f>
        <v>O.K.</v>
      </c>
      <c r="C171" s="357" t="s">
        <v>3623</v>
      </c>
      <c r="D171" s="340"/>
      <c r="E171" s="325">
        <f t="shared" si="7"/>
        <v>0</v>
      </c>
      <c r="F171" s="323">
        <v>0</v>
      </c>
      <c r="G171" s="324">
        <f>IF(AND($I$3=11,MAX(PRRAS!D430:E432,PRRAS!D445:E447,PRRAS!D451:E452,PRRAS!D467:E468,PRRAS!D471:E474,PRRAS!D477:E477,PRRAS!D486:E486,PRRAS!D489:E489,PRRAS!D494:E495,PRRAS!D506:E507)&gt;0),1,0)</f>
        <v>0</v>
      </c>
      <c r="H171" s="324">
        <f>IF(AND($I$3=11,MIN(PRRAS!D430:E432,PRRAS!D445:E447,PRRAS!D451:E452,PRRAS!D467:E468,PRRAS!D471:E474,PRRAS!D477:E477,PRRAS!D486:E486,PRRAS!D489:E489,PRRAS!D494:E495,PRRAS!D506:E507)&lt;0),1,0)</f>
        <v>0</v>
      </c>
      <c r="U171" s="325">
        <v>34969</v>
      </c>
    </row>
    <row r="172" spans="1:21" ht="35.1" customHeight="1" x14ac:dyDescent="0.2">
      <c r="A172" s="313">
        <f t="shared" si="10"/>
        <v>166</v>
      </c>
      <c r="B172" s="314" t="str">
        <f>IF(E172=1,"Pogreška",IF(F172=1,"Provjera","O.K."))</f>
        <v>O.K.</v>
      </c>
      <c r="C172" s="357" t="s">
        <v>3624</v>
      </c>
      <c r="D172" s="340"/>
      <c r="E172" s="325">
        <f>MAX(G172:L172)</f>
        <v>0</v>
      </c>
      <c r="F172" s="323">
        <v>0</v>
      </c>
      <c r="G172" s="324">
        <f>IF(AND($I$3=11,$O$3&lt;&gt;1087,$O$3&lt;&gt;1222,$O$3&lt;&gt;6120,$O$3&lt;&gt;47107,$O$3&lt;&gt;51441,$O$3&lt;&gt;51724,MAX(PRRAS!D492:E492)&gt;0),1,0)</f>
        <v>0</v>
      </c>
      <c r="U172" s="325">
        <v>34993</v>
      </c>
    </row>
    <row r="173" spans="1:21" ht="35.1" customHeight="1" x14ac:dyDescent="0.2">
      <c r="A173" s="313">
        <f>1+A172</f>
        <v>167</v>
      </c>
      <c r="B173" s="314" t="str">
        <f>IF(E173=1,"Pogreška",IF(F173=1,"Provjera","O.K."))</f>
        <v>O.K.</v>
      </c>
      <c r="C173" s="357" t="s">
        <v>368</v>
      </c>
      <c r="D173" s="340"/>
      <c r="E173" s="325">
        <f>MAX(G173:L173)</f>
        <v>0</v>
      </c>
      <c r="F173" s="323">
        <v>0</v>
      </c>
      <c r="G173" s="324">
        <f>IF(AND($I$3=11,$O$3&lt;&gt;1079,$O$3&lt;&gt;46237,$O$3&lt;&gt;47053,$O$3&lt;&gt;47061,MAX(PRRAS!D493:E493)&gt;0),1,0)</f>
        <v>0</v>
      </c>
    </row>
    <row r="174" spans="1:21" ht="50.1" customHeight="1" x14ac:dyDescent="0.2">
      <c r="A174" s="313">
        <f>1+A173</f>
        <v>168</v>
      </c>
      <c r="B174" s="314" t="str">
        <f>IF(E174=1,"Pogreška",IF(F174=1,"Provjera","O.K."))</f>
        <v>O.K.</v>
      </c>
      <c r="C174" s="357" t="s">
        <v>39</v>
      </c>
      <c r="D174" s="340"/>
      <c r="E174" s="325">
        <f t="shared" ref="E174:E200" si="12">MAX(G174:L174)</f>
        <v>0</v>
      </c>
      <c r="F174" s="323">
        <v>0</v>
      </c>
      <c r="G174" s="324">
        <f>IF(AND($I$3=11,$O$3&lt;&gt;721,OR(MAX(PRRAS!D511:E511,PRRAS!D621:E621)&gt;0)),1,0)</f>
        <v>0</v>
      </c>
      <c r="U174" s="325">
        <v>35062</v>
      </c>
    </row>
    <row r="175" spans="1:21" ht="50.1" customHeight="1" x14ac:dyDescent="0.2">
      <c r="A175" s="313">
        <f t="shared" ref="A175:A180" si="13">1+A174</f>
        <v>169</v>
      </c>
      <c r="B175" s="314" t="str">
        <f t="shared" si="11"/>
        <v>O.K.</v>
      </c>
      <c r="C175" s="357" t="s">
        <v>3400</v>
      </c>
      <c r="D175" s="340"/>
      <c r="E175" s="325">
        <f t="shared" si="12"/>
        <v>0</v>
      </c>
      <c r="F175" s="323">
        <v>0</v>
      </c>
      <c r="G175" s="324">
        <f>IF(AND($I$3=11,$O$3&lt;&gt;721,MAX(PRRAS!D512:E512,PRRAS!D524:E524,PRRAS!D527:E527,PRRAS!D533:E533,PRRAS!D536:E540,PRRAS!D553:E555,PRRAS!D559:E560,PRRAS!D576:E576,PRRAS!D579:E579,PRRAS!D584:E585)&gt;0),1,0)</f>
        <v>0</v>
      </c>
      <c r="U175" s="325">
        <v>35100</v>
      </c>
    </row>
    <row r="176" spans="1:21" ht="35.1" customHeight="1" x14ac:dyDescent="0.2">
      <c r="A176" s="313">
        <f t="shared" si="13"/>
        <v>170</v>
      </c>
      <c r="B176" s="314" t="str">
        <f t="shared" si="11"/>
        <v>O.K.</v>
      </c>
      <c r="C176" s="357" t="s">
        <v>3399</v>
      </c>
      <c r="D176" s="340"/>
      <c r="E176" s="325">
        <f t="shared" si="12"/>
        <v>0</v>
      </c>
      <c r="F176" s="323">
        <v>0</v>
      </c>
      <c r="G176" s="324">
        <f>IF(AND($I$3=11,$O$3&lt;&gt;46237,OR(MAX(PRRAS!D595:E595)&gt;0,MIN(PRRAS!D595:E595)&lt;0)),1,0)</f>
        <v>0</v>
      </c>
      <c r="U176" s="325">
        <v>35126</v>
      </c>
    </row>
    <row r="177" spans="1:21" ht="42.75" customHeight="1" x14ac:dyDescent="0.2">
      <c r="A177" s="313">
        <f t="shared" si="13"/>
        <v>171</v>
      </c>
      <c r="B177" s="314" t="str">
        <f t="shared" si="11"/>
        <v>O.K.</v>
      </c>
      <c r="C177" s="357" t="s">
        <v>4303</v>
      </c>
      <c r="D177" s="340"/>
      <c r="E177" s="325">
        <f t="shared" si="12"/>
        <v>0</v>
      </c>
      <c r="F177" s="323">
        <v>0</v>
      </c>
      <c r="G177" s="324">
        <f>IF(AND($I$3&lt;&gt;11,$O$3&lt;&gt;174,$O$3&lt;&gt;51255,$O$3&lt;&gt;51263,$O$3&lt;&gt;51343,$O$3&lt;&gt;51319,$O$3&lt;&gt;51298,$O$3&lt;&gt;51302,$O$3&lt;&gt;51327,$O$3&lt;&gt;51335,$O$3&lt;&gt;51280,$O$3&lt;&gt;51271,OR(MAX(PRRAS!D600:E604)&gt;0,MIN(PRRAS!D600:E604)&lt;0)),1,0)</f>
        <v>0</v>
      </c>
      <c r="U177" s="325">
        <v>35159</v>
      </c>
    </row>
    <row r="178" spans="1:21" ht="50.1" customHeight="1" x14ac:dyDescent="0.2">
      <c r="A178" s="313">
        <f t="shared" si="13"/>
        <v>172</v>
      </c>
      <c r="B178" s="314" t="str">
        <f t="shared" si="8"/>
        <v>O.K.</v>
      </c>
      <c r="C178" s="357" t="s">
        <v>4304</v>
      </c>
      <c r="D178" s="340"/>
      <c r="E178" s="325">
        <f t="shared" si="12"/>
        <v>0</v>
      </c>
      <c r="F178" s="323">
        <v>0</v>
      </c>
      <c r="G178" s="324">
        <f>IF(AND($I$3=11,MAX(PRRAS!D598:E598,PRRAS!D616:E617,PRRAS!D622:E622,PRRAS!D632:E634,PRRAS!D637:E637,PRRAS!D640:E640,PRRAS!D708:E708,PRRAS!D717:E717,PRRAS!D734:E734,PRRAS!D738:E738,PRRAS!D740:E740)&gt;0),1,0)</f>
        <v>0</v>
      </c>
      <c r="H178" s="325"/>
      <c r="I178" s="325"/>
      <c r="J178" s="325"/>
      <c r="K178" s="325"/>
      <c r="L178" s="325"/>
      <c r="M178" s="325"/>
      <c r="N178" s="325"/>
      <c r="O178" s="325"/>
      <c r="P178" s="325"/>
      <c r="Q178" s="325"/>
      <c r="U178" s="325">
        <v>35191</v>
      </c>
    </row>
    <row r="179" spans="1:21" ht="35.1" customHeight="1" x14ac:dyDescent="0.2">
      <c r="A179" s="313">
        <f t="shared" si="13"/>
        <v>173</v>
      </c>
      <c r="B179" s="314" t="str">
        <f t="shared" si="8"/>
        <v>O.K.</v>
      </c>
      <c r="C179" s="357" t="s">
        <v>3401</v>
      </c>
      <c r="D179" s="340"/>
      <c r="E179" s="325">
        <f t="shared" si="12"/>
        <v>0</v>
      </c>
      <c r="F179" s="323">
        <v>0</v>
      </c>
      <c r="G179" s="324">
        <f>IF(AND(OR($I$3=12,AND($I$3=11,$Q$3="DA")),$O$3&lt;&gt;47123,OR(MAX(PRRAS!D14:E21)&gt;0,MIN(PRRAS!D14:E21)&lt;0)),1,0)</f>
        <v>0</v>
      </c>
      <c r="H179" s="325"/>
      <c r="I179" s="325"/>
      <c r="J179" s="325"/>
      <c r="K179" s="325"/>
      <c r="L179" s="325"/>
      <c r="M179" s="325"/>
      <c r="N179" s="325"/>
      <c r="O179" s="325"/>
      <c r="P179" s="325"/>
      <c r="Q179" s="325"/>
      <c r="U179" s="325">
        <v>35206</v>
      </c>
    </row>
    <row r="180" spans="1:21" ht="50.1" customHeight="1" x14ac:dyDescent="0.2">
      <c r="A180" s="313">
        <f t="shared" si="13"/>
        <v>174</v>
      </c>
      <c r="B180" s="314" t="str">
        <f>IF(E180=1,"Pogreška",IF(F180=1,"Provjera","O.K."))</f>
        <v>O.K.</v>
      </c>
      <c r="C180" s="357" t="s">
        <v>3402</v>
      </c>
      <c r="D180" s="340"/>
      <c r="E180" s="325">
        <f>MAX(G180:L180)</f>
        <v>0</v>
      </c>
      <c r="F180" s="323">
        <v>0</v>
      </c>
      <c r="G180" s="324">
        <f>IF(AND(OR($I$3=12,AND($I$3=11,$Q$3="DA")),MAX(PRRAS!D35:E35,PRRAS!D42:E42)&gt;0,T6=0),1,0)</f>
        <v>0</v>
      </c>
      <c r="H180" s="325"/>
      <c r="I180" s="325"/>
      <c r="J180" s="325"/>
      <c r="K180" s="325"/>
      <c r="L180" s="325"/>
      <c r="M180" s="325"/>
      <c r="N180" s="325"/>
      <c r="O180" s="325"/>
      <c r="P180" s="325"/>
      <c r="Q180" s="325"/>
      <c r="U180" s="346">
        <v>35214</v>
      </c>
    </row>
    <row r="181" spans="1:21" s="346" customFormat="1" ht="50.1" customHeight="1" x14ac:dyDescent="0.2">
      <c r="A181" s="313">
        <f>1+A180</f>
        <v>175</v>
      </c>
      <c r="B181" s="314" t="str">
        <f>IF(E181=1,"Pogreška",IF(F181=1,"Provjera","O.K."))</f>
        <v>O.K.</v>
      </c>
      <c r="C181" s="357" t="s">
        <v>3403</v>
      </c>
      <c r="D181" s="340"/>
      <c r="E181" s="325">
        <f t="shared" si="12"/>
        <v>0</v>
      </c>
      <c r="F181" s="323">
        <v>0</v>
      </c>
      <c r="G181" s="324">
        <f>IF(AND(OR($I$3=12,AND($I$3=11,$Q$3="DA")),MAX(PRRAS!D22:E34,PRRAS!D36:E41,PRRAS!D43:E45,PRRAS!D147:E147,PRRAS!D246:E249)&gt;0),1,0)</f>
        <v>0</v>
      </c>
      <c r="H181" s="324"/>
      <c r="I181" s="343"/>
      <c r="J181" s="341"/>
      <c r="K181" s="341"/>
      <c r="L181" s="341"/>
      <c r="M181" s="344"/>
      <c r="N181" s="341"/>
      <c r="O181" s="344"/>
      <c r="P181" s="341"/>
      <c r="Q181" s="345"/>
      <c r="U181" s="346">
        <v>35271</v>
      </c>
    </row>
    <row r="182" spans="1:21" s="346" customFormat="1" ht="50.1" customHeight="1" x14ac:dyDescent="0.2">
      <c r="A182" s="313">
        <f t="shared" si="10"/>
        <v>176</v>
      </c>
      <c r="B182" s="314" t="str">
        <f t="shared" si="8"/>
        <v>O.K.</v>
      </c>
      <c r="C182" s="357" t="s">
        <v>163</v>
      </c>
      <c r="D182" s="340"/>
      <c r="E182" s="325">
        <f t="shared" si="12"/>
        <v>0</v>
      </c>
      <c r="F182" s="323">
        <v>0</v>
      </c>
      <c r="G182" s="324">
        <f>IF(AND(OR($I$3=12,AND($I$3=11,$Q$3="DA")),MAX(PRRAS!D430:E432,PRRAS!D445:E447,PRRAS!D451:E452,PRRAS!D466:E468,PRRAS!D471:E474,PRRAS!D477:E477,PRRAS!D494:E495,PRRAS!D524:E524,PRRAS!D527:E527,PRRAS!D533:E533,PRRAS!D536:E540,PRRAS!D553:E555,PRRAS!D559:E560)&gt;0),1,0)</f>
        <v>0</v>
      </c>
      <c r="H182" s="324"/>
      <c r="I182" s="343"/>
      <c r="J182" s="341"/>
      <c r="K182" s="341"/>
      <c r="L182" s="341"/>
      <c r="M182" s="344"/>
      <c r="N182" s="341"/>
      <c r="O182" s="344"/>
      <c r="P182" s="341"/>
      <c r="Q182" s="345"/>
      <c r="U182" s="346">
        <v>35319</v>
      </c>
    </row>
    <row r="183" spans="1:21" s="346" customFormat="1" ht="35.1" customHeight="1" x14ac:dyDescent="0.2">
      <c r="A183" s="313">
        <f>1+A182</f>
        <v>177</v>
      </c>
      <c r="B183" s="314" t="str">
        <f>IF(E183=1,"Pogreška",IF(F183=1,"Provjera","O.K."))</f>
        <v>O.K.</v>
      </c>
      <c r="C183" s="357" t="s">
        <v>3625</v>
      </c>
      <c r="D183" s="340"/>
      <c r="E183" s="325">
        <f>MAX(G183:L183)</f>
        <v>0</v>
      </c>
      <c r="F183" s="323">
        <v>0</v>
      </c>
      <c r="G183" s="324">
        <f>IF(AND($I$3=12,$O$3&lt;&gt;1087,$O$3&lt;&gt;1222,$O$3&lt;&gt;47061,$O$3&lt;&gt;47107,$O$3&lt;&gt;51441,MAX(PRRAS!D492:E492)&gt;0),1,0)</f>
        <v>0</v>
      </c>
      <c r="H183" s="324">
        <f>IF(AND($I$3=11,$Q$3="DA",$O$3&lt;&gt;1087,$O$3&lt;&gt;1222,$O$3&lt;&gt;47061,$O$3&lt;&gt;47107,$O$3&lt;&gt;51441,MAX(PRRAS!D492:E492)&gt;0),1,0)</f>
        <v>0</v>
      </c>
      <c r="I183" s="343"/>
      <c r="J183" s="341"/>
      <c r="K183" s="341"/>
      <c r="L183" s="341"/>
      <c r="M183" s="344"/>
      <c r="N183" s="341"/>
      <c r="O183" s="344"/>
      <c r="P183" s="341"/>
      <c r="Q183" s="345"/>
    </row>
    <row r="184" spans="1:21" s="346" customFormat="1" ht="35.1" customHeight="1" x14ac:dyDescent="0.2">
      <c r="A184" s="313">
        <f>1+A183</f>
        <v>178</v>
      </c>
      <c r="B184" s="314" t="str">
        <f>IF(E184=1,"Pogreška",IF(F184=1,"Provjera","O.K."))</f>
        <v>O.K.</v>
      </c>
      <c r="C184" s="357" t="s">
        <v>3799</v>
      </c>
      <c r="D184" s="340"/>
      <c r="E184" s="325">
        <f>MAX(G184:L184)</f>
        <v>0</v>
      </c>
      <c r="F184" s="323">
        <v>0</v>
      </c>
      <c r="G184" s="324">
        <f>IF(AND($I$3=12,$O$3&lt;&gt;1079,$O$3&lt;&gt;46237,$O$3&lt;&gt;47053,$O$3&lt;&gt;47061,MAX(PRRAS!D493:E493)&gt;0),1,0)</f>
        <v>0</v>
      </c>
      <c r="H184" s="324">
        <f>IF(AND($I$3=11,$Q$3="DA",$O$3&lt;&gt;1079,$O$3&lt;&gt;46237,$O$3&lt;&gt;47053,$O$3&lt;&gt;47061,MAX(PRRAS!D493:E493)&gt;0),1,0)</f>
        <v>0</v>
      </c>
      <c r="I184" s="343"/>
      <c r="J184" s="341"/>
      <c r="K184" s="341"/>
      <c r="L184" s="341"/>
      <c r="M184" s="344"/>
      <c r="N184" s="341"/>
      <c r="O184" s="344"/>
      <c r="P184" s="341"/>
      <c r="Q184" s="345"/>
    </row>
    <row r="185" spans="1:21" s="346" customFormat="1" ht="50.1" customHeight="1" x14ac:dyDescent="0.2">
      <c r="A185" s="313">
        <f>1+A184</f>
        <v>179</v>
      </c>
      <c r="B185" s="314" t="str">
        <f>IF(E185=1,"Pogreška",IF(F185=1,"Provjera","O.K."))</f>
        <v>O.K.</v>
      </c>
      <c r="C185" s="357" t="s">
        <v>3621</v>
      </c>
      <c r="D185" s="340"/>
      <c r="E185" s="325">
        <f t="shared" si="12"/>
        <v>0</v>
      </c>
      <c r="F185" s="323">
        <v>0</v>
      </c>
      <c r="G185" s="324">
        <f>IF(AND(OR($I$3=12,AND($I$3=11,$Q$3="DA")),MAX(PRRAS!D576:E576,PRRAS!D579:E579,PRRAS!D583:E585,PRRAS!D598:E598,PRRAS!D632:E634,PRRAS!D637:E637,PRRAS!D640:E640,PRRAS!D734:E734,PRRAS!D736:E736,PRRAS!D738:E738,PRRAS!D740:E740)&gt;0),1,0)</f>
        <v>0</v>
      </c>
      <c r="H185" s="324"/>
      <c r="I185" s="343"/>
      <c r="J185" s="341"/>
      <c r="K185" s="341"/>
      <c r="L185" s="341"/>
      <c r="M185" s="344"/>
      <c r="N185" s="341"/>
      <c r="O185" s="344"/>
      <c r="P185" s="341"/>
      <c r="Q185" s="345"/>
      <c r="U185" s="325">
        <v>35409</v>
      </c>
    </row>
    <row r="186" spans="1:21" s="346" customFormat="1" ht="50.1" customHeight="1" x14ac:dyDescent="0.2">
      <c r="A186" s="313">
        <f>1+A185</f>
        <v>180</v>
      </c>
      <c r="B186" s="314" t="str">
        <f>IF(E186=1,"Pogreška",IF(F186=1,"Provjera","O.K."))</f>
        <v>O.K.</v>
      </c>
      <c r="C186" s="357" t="s">
        <v>3622</v>
      </c>
      <c r="D186" s="340"/>
      <c r="E186" s="325">
        <f>MAX(G186:L186)</f>
        <v>0</v>
      </c>
      <c r="F186" s="323">
        <v>0</v>
      </c>
      <c r="G186" s="324">
        <f>IF(AND(OR($I$3=12,AND($I$3=11,$Q$3="DA")),MAX(PRRAS!D602:E604)&gt;0,$O$3&lt;&gt;174,$O$3&lt;&gt;1087),1,0)</f>
        <v>0</v>
      </c>
      <c r="H186" s="324"/>
      <c r="I186" s="343"/>
      <c r="J186" s="341"/>
      <c r="K186" s="341"/>
      <c r="L186" s="341"/>
      <c r="M186" s="344"/>
      <c r="N186" s="341"/>
      <c r="O186" s="344"/>
      <c r="P186" s="341"/>
      <c r="Q186" s="345"/>
      <c r="U186" s="325"/>
    </row>
    <row r="187" spans="1:21" ht="39" customHeight="1" x14ac:dyDescent="0.2">
      <c r="A187" s="313">
        <f>1+A186</f>
        <v>181</v>
      </c>
      <c r="B187" s="314" t="str">
        <f t="shared" si="8"/>
        <v>O.K.</v>
      </c>
      <c r="C187" s="357" t="s">
        <v>3080</v>
      </c>
      <c r="D187" s="340"/>
      <c r="E187" s="325">
        <f t="shared" si="12"/>
        <v>0</v>
      </c>
      <c r="F187" s="323">
        <v>0</v>
      </c>
      <c r="G187" s="324">
        <f>IF(AND($I$3=13,MAX(PRRAS!D140:E143)&gt;0),1,0)</f>
        <v>0</v>
      </c>
      <c r="I187" s="343"/>
      <c r="J187" s="341"/>
      <c r="K187" s="341"/>
      <c r="L187" s="341"/>
      <c r="M187" s="341"/>
      <c r="U187" s="325">
        <v>35433</v>
      </c>
    </row>
    <row r="188" spans="1:21" ht="50.1" customHeight="1" x14ac:dyDescent="0.2">
      <c r="A188" s="313">
        <f t="shared" si="10"/>
        <v>182</v>
      </c>
      <c r="B188" s="314" t="str">
        <f t="shared" si="8"/>
        <v>O.K.</v>
      </c>
      <c r="C188" s="357" t="s">
        <v>3800</v>
      </c>
      <c r="D188" s="340"/>
      <c r="E188" s="325">
        <f t="shared" si="12"/>
        <v>0</v>
      </c>
      <c r="F188" s="323">
        <v>0</v>
      </c>
      <c r="G188" s="324">
        <f>IF(AND($I$3=21,MAX(PRRAS!D14:E45,PRRAS!D51:E55,PRRAS!D147:E147,PRRAS!D181:E181,PRRAS!D209:E209,PRRAS!D246:E249,PRRAS!D259:E264,PRRAS!D355:E355,PRRAS!D383:E383)&gt;0),1,0)</f>
        <v>0</v>
      </c>
      <c r="I188" s="341"/>
      <c r="J188" s="343"/>
      <c r="K188" s="341"/>
      <c r="L188" s="341"/>
      <c r="M188" s="341"/>
      <c r="U188" s="325">
        <v>35484</v>
      </c>
    </row>
    <row r="189" spans="1:21" ht="50.1" customHeight="1" x14ac:dyDescent="0.2">
      <c r="A189" s="313">
        <f t="shared" si="10"/>
        <v>183</v>
      </c>
      <c r="B189" s="314" t="str">
        <f t="shared" si="8"/>
        <v>O.K.</v>
      </c>
      <c r="C189" s="357" t="s">
        <v>3081</v>
      </c>
      <c r="D189" s="340"/>
      <c r="E189" s="325">
        <f t="shared" si="12"/>
        <v>0</v>
      </c>
      <c r="F189" s="323">
        <v>0</v>
      </c>
      <c r="G189" s="324">
        <f>IF(AND($I$3=21,MAX(PRRAS!D407:E407,PRRAS!D428:E432,PRRAS!D435:E435,PRRAS!D445:E447,PRRAS!D451:E452,PRRAS!D466:E468,PRRAS!D471:E474,PRRAS!D477:E477,PRRAS!D486:E486,PRRAS!D489:E489,PRRAS!D491:E495)&gt;0),1,0)</f>
        <v>0</v>
      </c>
      <c r="I189" s="341"/>
      <c r="J189" s="343"/>
      <c r="K189" s="341"/>
      <c r="L189" s="341"/>
      <c r="M189" s="341"/>
      <c r="U189" s="325">
        <v>35548</v>
      </c>
    </row>
    <row r="190" spans="1:21" ht="50.1" customHeight="1" x14ac:dyDescent="0.2">
      <c r="A190" s="313">
        <f t="shared" si="10"/>
        <v>184</v>
      </c>
      <c r="B190" s="314" t="str">
        <f t="shared" si="8"/>
        <v>O.K.</v>
      </c>
      <c r="C190" s="357" t="s">
        <v>3082</v>
      </c>
      <c r="D190" s="340"/>
      <c r="E190" s="325">
        <f t="shared" si="12"/>
        <v>0</v>
      </c>
      <c r="F190" s="323">
        <v>0</v>
      </c>
      <c r="G190" s="324">
        <f>IF(AND($I$3=21,MAX(PRRAS!D505:E507,PRRAS!D511:E512,PRRAS!D524:E524,PRRAS!D527:E530,PRRAS!D533:E533,PRRAS!D536:E540,PRRAS!D543:E543,PRRAS!D553:E555,PRRAS!D559:E560,PRRAS!D576:E576,PRRAS!D579:E585,PRRAS!D595:E595,PRRAS!D598:E598)&gt;0),1,0)</f>
        <v>0</v>
      </c>
      <c r="I190" s="341"/>
      <c r="J190" s="343"/>
      <c r="K190" s="341"/>
      <c r="L190" s="341"/>
      <c r="M190" s="341"/>
      <c r="U190" s="325">
        <v>35669</v>
      </c>
    </row>
    <row r="191" spans="1:21" ht="50.1" customHeight="1" x14ac:dyDescent="0.2">
      <c r="A191" s="313">
        <f t="shared" si="10"/>
        <v>185</v>
      </c>
      <c r="B191" s="314" t="str">
        <f t="shared" si="8"/>
        <v>O.K.</v>
      </c>
      <c r="C191" s="357" t="s">
        <v>3083</v>
      </c>
      <c r="D191" s="340"/>
      <c r="E191" s="325">
        <f t="shared" si="12"/>
        <v>0</v>
      </c>
      <c r="F191" s="323">
        <v>0</v>
      </c>
      <c r="G191" s="324">
        <f>IF(AND($I$3=21,MAX(PRRAS!D600:E604,PRRAS!D615:E617,PRRAS!D621:E622,PRRAS!D632:E634,PRRAS!D637:E637,PRRAS!D640:E640,PRRAS!D717:E717,PRRAS!D734:E734,PRRAS!D736:E736,PRRAS!D738:E738,PRRAS!D740:E740)&gt;0),1,0)</f>
        <v>0</v>
      </c>
      <c r="I191" s="341"/>
      <c r="J191" s="343"/>
      <c r="K191" s="341"/>
      <c r="L191" s="341"/>
      <c r="M191" s="341"/>
      <c r="U191" s="325">
        <v>35708</v>
      </c>
    </row>
    <row r="192" spans="1:21" ht="50.1" customHeight="1" x14ac:dyDescent="0.2">
      <c r="A192" s="313">
        <f t="shared" ref="A192:A222" si="14">1+A191</f>
        <v>186</v>
      </c>
      <c r="B192" s="314" t="str">
        <f t="shared" si="8"/>
        <v>O.K.</v>
      </c>
      <c r="C192" s="357" t="s">
        <v>3227</v>
      </c>
      <c r="D192" s="340"/>
      <c r="E192" s="325">
        <f t="shared" si="12"/>
        <v>0</v>
      </c>
      <c r="F192" s="323">
        <v>0</v>
      </c>
      <c r="G192" s="324">
        <f>IF(AND($I$3=22,MAX(PRRAS!D23:E28,PRRAS!D32:E32,PRRAS!D36:E36,PRRAS!D38:E38,PRRAS!D43:E45,PRRAS!D51:E55,PRRAS!D140:E144,PRRAS!D147:E147,PRRAS!D181:E181,PRRAS!D209:E209,PRRAS!D259:E264)&gt;0),1,0)</f>
        <v>0</v>
      </c>
      <c r="I192" s="341"/>
      <c r="J192" s="343"/>
      <c r="K192" s="341"/>
      <c r="L192" s="341"/>
      <c r="M192" s="341"/>
      <c r="U192" s="325">
        <v>35716</v>
      </c>
    </row>
    <row r="193" spans="1:21" ht="50.1" customHeight="1" x14ac:dyDescent="0.2">
      <c r="A193" s="313">
        <f t="shared" si="14"/>
        <v>187</v>
      </c>
      <c r="B193" s="314" t="str">
        <f t="shared" si="8"/>
        <v>O.K.</v>
      </c>
      <c r="C193" s="357" t="s">
        <v>3228</v>
      </c>
      <c r="D193" s="340"/>
      <c r="E193" s="325">
        <f t="shared" si="12"/>
        <v>0</v>
      </c>
      <c r="F193" s="323">
        <v>0</v>
      </c>
      <c r="G193" s="324">
        <f>IF(AND($I$3=22,MAX(PRRAS!D355:E355,PRRAS!D383:E383,PRRAS!D407:E407,PRRAS!D428:E432,PRRAS!D435:E435,PRRAS!D445:E447,PRRAS!D451:E452,PRRAS!D466:E468,PRRAS!D471:E474,PRRAS!D477:E477,PRRAS!D486:E486,PRRAS!D489:E489,PRRAS!D491:E495)&gt;0),1,0)</f>
        <v>0</v>
      </c>
      <c r="I193" s="341"/>
      <c r="J193" s="343"/>
      <c r="K193" s="341"/>
      <c r="L193" s="341"/>
      <c r="M193" s="341"/>
      <c r="U193" s="325">
        <v>35757</v>
      </c>
    </row>
    <row r="194" spans="1:21" ht="50.1" customHeight="1" x14ac:dyDescent="0.2">
      <c r="A194" s="313">
        <f t="shared" si="14"/>
        <v>188</v>
      </c>
      <c r="B194" s="314" t="str">
        <f t="shared" si="8"/>
        <v>O.K.</v>
      </c>
      <c r="C194" s="357" t="s">
        <v>3229</v>
      </c>
      <c r="D194" s="340"/>
      <c r="E194" s="325">
        <f t="shared" si="12"/>
        <v>0</v>
      </c>
      <c r="F194" s="323">
        <v>0</v>
      </c>
      <c r="G194" s="324">
        <f>IF(AND($I$3=22,MAX(PRRAS!D505:E507,PRRAS!D511:E512,PRRAS!D524:E524,PRRAS!D527:E530,PRRAS!D533:E533,PRRAS!D536:E540,PRRAS!D543:E543,PRRAS!D553:E555,PRRAS!D559:E560,PRRAS!D576:E576,PRRAS!D579:E585,PRRAS!D595:E595,PRRAS!D598:E598)&gt;0),1,0)</f>
        <v>0</v>
      </c>
      <c r="I194" s="341"/>
      <c r="J194" s="343"/>
      <c r="K194" s="341"/>
      <c r="L194" s="341"/>
      <c r="M194" s="341"/>
      <c r="U194" s="325">
        <v>35790</v>
      </c>
    </row>
    <row r="195" spans="1:21" ht="50.1" customHeight="1" x14ac:dyDescent="0.2">
      <c r="A195" s="313">
        <f t="shared" si="14"/>
        <v>189</v>
      </c>
      <c r="B195" s="314" t="str">
        <f t="shared" si="8"/>
        <v>O.K.</v>
      </c>
      <c r="C195" s="357" t="s">
        <v>3230</v>
      </c>
      <c r="D195" s="340"/>
      <c r="E195" s="325">
        <f t="shared" si="12"/>
        <v>0</v>
      </c>
      <c r="F195" s="323">
        <v>0</v>
      </c>
      <c r="G195" s="324">
        <f>IF(AND($I$3=22,MAX(PRRAS!D600:E604,PRRAS!D615:E617,PRRAS!D621:E622,PRRAS!D632:E634,PRRAS!D637:E637,PRRAS!D640:E640,PRRAS!D717:E717,PRRAS!D734:E734,PRRAS!D736:E736,PRRAS!D738:E738,PRRAS!D740:E740)&gt;0),1,0)</f>
        <v>0</v>
      </c>
      <c r="I195" s="341"/>
      <c r="J195" s="343"/>
      <c r="K195" s="341"/>
      <c r="L195" s="341"/>
      <c r="M195" s="341"/>
      <c r="U195" s="325">
        <v>35896</v>
      </c>
    </row>
    <row r="196" spans="1:21" ht="50.1" customHeight="1" x14ac:dyDescent="0.2">
      <c r="A196" s="313">
        <f t="shared" si="14"/>
        <v>190</v>
      </c>
      <c r="B196" s="314" t="str">
        <f t="shared" si="8"/>
        <v>O.K.</v>
      </c>
      <c r="C196" s="369" t="s">
        <v>508</v>
      </c>
      <c r="D196" s="340"/>
      <c r="E196" s="325">
        <f t="shared" si="12"/>
        <v>0</v>
      </c>
      <c r="F196" s="323">
        <v>0</v>
      </c>
      <c r="G196" s="324">
        <f>IF(AND($I$3=23,MAX(PRRAS!D23:E28,PRRAS!D32:E32,PRRAS!D36:E36,PRRAS!D38:E38,PRRAS!D43:E45,PRRAS!D51:E55,PRRAS!D83:D87,PRRAS!D140:E143,PRRAS!D181:E181,PRRAS!D209:E209,PRRAS!D246:E249,PRRAS!D253:E257,PRRAS!D259:E264,PRRAS!D355:E355,PRRAS!D383:E383,PRRAS!D407:E407)&gt;0),1,0)</f>
        <v>0</v>
      </c>
      <c r="H196" s="324">
        <f>IF(AND($I$3=22,Q3="DA",MAX(PRRAS!D23:E28,PRRAS!D32:E32,PRRAS!D36:E36,PRRAS!D38:E38,PRRAS!D43:E45,PRRAS!D51:E55,PRRAS!D83:D87,PRRAS!D140:E143,PRRAS!D181:E181,PRRAS!D209:E209,PRRAS!D246:E249,PRRAS!D253:E257,PRRAS!D259:E264,PRRAS!D355:E355,PRRAS!D383:E383,PRRAS!D407:E407)&gt;0),1,0)</f>
        <v>0</v>
      </c>
      <c r="I196" s="341"/>
      <c r="J196" s="343"/>
      <c r="K196" s="343"/>
      <c r="L196" s="341"/>
      <c r="M196" s="341"/>
      <c r="N196" s="341"/>
      <c r="U196" s="325">
        <v>35907</v>
      </c>
    </row>
    <row r="197" spans="1:21" ht="50.1" customHeight="1" x14ac:dyDescent="0.2">
      <c r="A197" s="313">
        <f t="shared" si="14"/>
        <v>191</v>
      </c>
      <c r="B197" s="314" t="str">
        <f t="shared" si="8"/>
        <v>O.K.</v>
      </c>
      <c r="C197" s="357" t="s">
        <v>3231</v>
      </c>
      <c r="D197" s="340"/>
      <c r="E197" s="325">
        <f t="shared" si="12"/>
        <v>0</v>
      </c>
      <c r="F197" s="323">
        <v>0</v>
      </c>
      <c r="G197" s="324">
        <f>IF(AND($I$3=23,MAX(PRRAS!D428:E432,PRRAS!D435:E435,PRRAS!D445:E447,PRRAS!D451:E452,PRRAS!D466:E468,PRRAS!D471:E474,PRRAS!D477:E477,PRRAS!D486:E486,PRRAS!D489:E489,PRRAS!D491:E495,PRRAS!D505:E507,PRRAS!D511:E512)&gt;0),1,0)</f>
        <v>0</v>
      </c>
      <c r="H197" s="324">
        <f>IF(AND($I$3=22,$Q$3="DA",MAX(PRRAS!D428:E432,PRRAS!D435:E435,PRRAS!D445:E447,PRRAS!D451:E452,PRRAS!D466:E468,PRRAS!D471:E474,PRRAS!D477:E477,PRRAS!D486:E486,PRRAS!D489:E489,PRRAS!D491:E495,PRRAS!D505:E507,PRRAS!D511:E512)&gt;0),1,0)</f>
        <v>0</v>
      </c>
      <c r="I197" s="341"/>
      <c r="J197" s="343"/>
      <c r="K197" s="343"/>
      <c r="L197" s="341"/>
      <c r="M197" s="341"/>
      <c r="N197" s="341"/>
      <c r="U197" s="325">
        <v>35940</v>
      </c>
    </row>
    <row r="198" spans="1:21" ht="50.1" customHeight="1" x14ac:dyDescent="0.2">
      <c r="A198" s="313">
        <f t="shared" si="14"/>
        <v>192</v>
      </c>
      <c r="B198" s="314" t="str">
        <f t="shared" si="8"/>
        <v>O.K.</v>
      </c>
      <c r="C198" s="357" t="s">
        <v>1351</v>
      </c>
      <c r="D198" s="340"/>
      <c r="E198" s="325">
        <f t="shared" si="12"/>
        <v>0</v>
      </c>
      <c r="F198" s="323">
        <v>0</v>
      </c>
      <c r="G198" s="324">
        <f>IF(AND($I$3=23,MAX(PRRAS!D524:E524,PRRAS!D527:E530,PRRAS!D533:E533,PRRAS!D536:E540,PRRAS!D543:E543,PRRAS!D553:E555,PRRAS!D559:E560,PRRAS!D576:E576,PRRAS!D579:E585,PRRAS!D595:E595,PRRAS!D598:E598,PRRAS!D600:E604)&gt;0),1,0)</f>
        <v>0</v>
      </c>
      <c r="H198" s="324">
        <f>IF(AND($I$3=22,$Q$3="DA",MAX(PRRAS!D524:E524,PRRAS!D527:E530,PRRAS!D533:E533,PRRAS!D536:E540,PRRAS!D543:E543,PRRAS!D553:E555,PRRAS!D559:E560,PRRAS!D576:E576,PRRAS!D579:E585,PRRAS!D595:E595,PRRAS!D598:E598,PRRAS!D600:E604)&gt;0),1,0)</f>
        <v>0</v>
      </c>
      <c r="I198" s="341"/>
      <c r="J198" s="343"/>
      <c r="K198" s="343"/>
      <c r="L198" s="341"/>
      <c r="M198" s="341"/>
      <c r="N198" s="341"/>
      <c r="U198" s="325">
        <v>35958</v>
      </c>
    </row>
    <row r="199" spans="1:21" ht="35.1" customHeight="1" x14ac:dyDescent="0.2">
      <c r="A199" s="313">
        <f t="shared" si="14"/>
        <v>193</v>
      </c>
      <c r="B199" s="314" t="str">
        <f t="shared" si="8"/>
        <v>O.K.</v>
      </c>
      <c r="C199" s="357" t="s">
        <v>1352</v>
      </c>
      <c r="D199" s="340"/>
      <c r="E199" s="325">
        <f t="shared" si="12"/>
        <v>0</v>
      </c>
      <c r="F199" s="323">
        <v>0</v>
      </c>
      <c r="G199" s="324">
        <f>IF(AND($I$3=23,MAX(PRRAS!D615:E617,PRRAS!D621:E622,PRRAS!D632:E634,PRRAS!D637:E637,PRRAS!D640:E640,PRRAS!D717:E717,PRRAS!D734:E734,PRRAS!D736:E736,PRRAS!D738:E738,PRRAS!D740:E740)&gt;0),1,0)</f>
        <v>0</v>
      </c>
      <c r="H199" s="324">
        <f>IF(AND($I$3=22,$Q$3="DA",MAX(PRRAS!D615:E617,PRRAS!D621:E622,PRRAS!D632:E634,PRRAS!D637:E637,PRRAS!D640:E640,PRRAS!D717:E717,PRRAS!D734:E734,PRRAS!D736:E736,PRRAS!D738:E738,PRRAS!D740:E740)&gt;0),1,0)</f>
        <v>0</v>
      </c>
      <c r="I199" s="341"/>
      <c r="J199" s="343"/>
      <c r="K199" s="343"/>
      <c r="L199" s="341"/>
      <c r="M199" s="341"/>
      <c r="N199" s="341"/>
      <c r="U199" s="325">
        <v>35974</v>
      </c>
    </row>
    <row r="200" spans="1:21" ht="35.1" customHeight="1" x14ac:dyDescent="0.2">
      <c r="A200" s="313">
        <f t="shared" si="14"/>
        <v>194</v>
      </c>
      <c r="B200" s="314" t="str">
        <f t="shared" si="8"/>
        <v>O.K.</v>
      </c>
      <c r="C200" s="357" t="s">
        <v>1353</v>
      </c>
      <c r="D200" s="340"/>
      <c r="E200" s="325">
        <f t="shared" si="12"/>
        <v>0</v>
      </c>
      <c r="F200" s="323">
        <v>0</v>
      </c>
      <c r="G200" s="324">
        <f>IF(AND($I$3=31,MAX(PRRAS!D14:E45,PRRAS!D51:E55,PRRAS!D147:E147,PRRAS!D181:E181,PRRAS!D209:E209,PRRAS!D246:E249,PRRAS!D259:E264,PRRAS!D355:E355,PRRAS!D383:E383,PRRAS!D407:E407)&gt;0),1,0)</f>
        <v>0</v>
      </c>
      <c r="I200" s="341"/>
      <c r="J200" s="343"/>
      <c r="K200" s="341"/>
      <c r="L200" s="341"/>
      <c r="M200" s="341"/>
      <c r="U200" s="325">
        <v>36047</v>
      </c>
    </row>
    <row r="201" spans="1:21" ht="50.1" customHeight="1" x14ac:dyDescent="0.2">
      <c r="A201" s="313">
        <f>1+A200</f>
        <v>195</v>
      </c>
      <c r="B201" s="314" t="str">
        <f t="shared" si="8"/>
        <v>O.K.</v>
      </c>
      <c r="C201" s="357" t="s">
        <v>338</v>
      </c>
      <c r="D201" s="340"/>
      <c r="E201" s="325">
        <f t="shared" ref="E201:E207" si="15">MAX(G201:L201)</f>
        <v>0</v>
      </c>
      <c r="F201" s="323">
        <v>0</v>
      </c>
      <c r="G201" s="324">
        <f>IF(AND($I$3=31,MAX(PRRAS!D428:E432,PRRAS!D435:E435,PRRAS!D445:E447,PRRAS!D451:E452,PRRAS!D466:E468,PRRAS!D471:E474,PRRAS!D477:E477,PRRAS!D489:E489,PRRAS!D491:E495,PRRAS!D505:E507,PRRAS!D511:E512)&gt;0),1,0)</f>
        <v>0</v>
      </c>
      <c r="I201" s="341"/>
      <c r="J201" s="343"/>
      <c r="K201" s="341"/>
      <c r="L201" s="341"/>
      <c r="M201" s="341"/>
      <c r="U201" s="325">
        <v>36080</v>
      </c>
    </row>
    <row r="202" spans="1:21" ht="50.1" customHeight="1" x14ac:dyDescent="0.2">
      <c r="A202" s="313">
        <f t="shared" ref="A202:A207" si="16">1+A201</f>
        <v>196</v>
      </c>
      <c r="B202" s="314" t="str">
        <f t="shared" si="8"/>
        <v>O.K.</v>
      </c>
      <c r="C202" s="357" t="s">
        <v>375</v>
      </c>
      <c r="D202" s="340"/>
      <c r="E202" s="325">
        <f t="shared" si="15"/>
        <v>0</v>
      </c>
      <c r="F202" s="323">
        <v>0</v>
      </c>
      <c r="G202" s="324">
        <f>IF(AND($I$3=31,MAX(PRRAS!D524:E524,PRRAS!D527:E530,PRRAS!D533:E533,PRRAS!D536:E540,PRRAS!D543:E543,PRRAS!D553:E555,PRRAS!D559:E560,PRRAS!D576:E576,PRRAS!D579:E585,PRRAS!D595:E595,PRRAS!D598:E598,PRRAS!D600:E604)&gt;0),1,0)</f>
        <v>0</v>
      </c>
      <c r="I202" s="341"/>
      <c r="J202" s="343"/>
      <c r="K202" s="341"/>
      <c r="L202" s="341"/>
      <c r="M202" s="341"/>
      <c r="U202" s="325">
        <v>36098</v>
      </c>
    </row>
    <row r="203" spans="1:21" ht="35.1" customHeight="1" x14ac:dyDescent="0.2">
      <c r="A203" s="313">
        <f t="shared" si="16"/>
        <v>197</v>
      </c>
      <c r="B203" s="314" t="str">
        <f t="shared" si="8"/>
        <v>O.K.</v>
      </c>
      <c r="C203" s="357" t="s">
        <v>376</v>
      </c>
      <c r="D203" s="340"/>
      <c r="E203" s="325">
        <f t="shared" si="15"/>
        <v>0</v>
      </c>
      <c r="F203" s="323">
        <v>0</v>
      </c>
      <c r="G203" s="324">
        <f>IF(AND($I$3=31,MAX(PRRAS!D621:E622,PRRAS!D632:E634,PRRAS!D637:E637,PRRAS!D640:E640,PRRAS!D659:E659,PRRAS!D661:E661,PRRAS!D717:E717,PRRAS!D734:E734,PRRAS!D736:E736,PRRAS!D738:E738,PRRAS!D740:E740)&gt;0),1,0)</f>
        <v>0</v>
      </c>
      <c r="I203" s="341"/>
      <c r="J203" s="343"/>
      <c r="K203" s="341"/>
      <c r="L203" s="341"/>
      <c r="M203" s="341"/>
      <c r="U203" s="325">
        <v>36119</v>
      </c>
    </row>
    <row r="204" spans="1:21" ht="50.1" customHeight="1" x14ac:dyDescent="0.2">
      <c r="A204" s="313">
        <f t="shared" si="16"/>
        <v>198</v>
      </c>
      <c r="B204" s="314" t="str">
        <f t="shared" si="8"/>
        <v>O.K.</v>
      </c>
      <c r="C204" s="357" t="s">
        <v>377</v>
      </c>
      <c r="D204" s="340"/>
      <c r="E204" s="325">
        <f t="shared" si="15"/>
        <v>0</v>
      </c>
      <c r="F204" s="323">
        <v>0</v>
      </c>
      <c r="G204" s="324">
        <f>IF(AND($I$3=41,$O$3&lt;&gt;23911,$O$3&lt;&gt;25843,MAX(PRRAS!D140:E143)&gt;0),1,0)</f>
        <v>0</v>
      </c>
      <c r="I204" s="341"/>
      <c r="J204" s="343"/>
      <c r="K204" s="341"/>
      <c r="L204" s="341"/>
      <c r="M204" s="341"/>
      <c r="U204" s="325">
        <v>36127</v>
      </c>
    </row>
    <row r="205" spans="1:21" ht="50.1" customHeight="1" x14ac:dyDescent="0.2">
      <c r="A205" s="313">
        <f t="shared" si="16"/>
        <v>199</v>
      </c>
      <c r="B205" s="314" t="str">
        <f t="shared" si="8"/>
        <v>O.K.</v>
      </c>
      <c r="C205" s="357" t="s">
        <v>378</v>
      </c>
      <c r="D205" s="340"/>
      <c r="E205" s="325">
        <f t="shared" si="15"/>
        <v>0</v>
      </c>
      <c r="F205" s="323">
        <v>0</v>
      </c>
      <c r="G205" s="324">
        <f>IF(AND($I$3=41,MAX(PRRAS!D14:E45,PRRAS!D144:E144,PRRAS!D147:E147,PRRAS!D181:E181,PRRAS!D355:E355,PRRAS!D407:E407,PRRAS!D428:E432,PRRAS!D435:E435,PRRAS!D445:E447,PRRAS!D451:E452,PRRAS!D466:E468,PRRAS!D471:E474,PRRAS!D493:E495)&gt;0),1,0)</f>
        <v>0</v>
      </c>
      <c r="I205" s="341"/>
      <c r="J205" s="343"/>
      <c r="K205" s="341"/>
      <c r="L205" s="341"/>
      <c r="M205" s="341"/>
      <c r="U205" s="325">
        <v>36225</v>
      </c>
    </row>
    <row r="206" spans="1:21" ht="50.1" customHeight="1" x14ac:dyDescent="0.2">
      <c r="A206" s="313">
        <f t="shared" si="16"/>
        <v>200</v>
      </c>
      <c r="B206" s="314" t="str">
        <f t="shared" si="8"/>
        <v>O.K.</v>
      </c>
      <c r="C206" s="357" t="s">
        <v>1624</v>
      </c>
      <c r="D206" s="340"/>
      <c r="E206" s="325">
        <f t="shared" si="15"/>
        <v>0</v>
      </c>
      <c r="F206" s="323">
        <v>0</v>
      </c>
      <c r="G206" s="324">
        <f>IF(AND($I$3=41,MAX(PRRAS!D524:E524,PRRAS!D527:E530,PRRAS!D533:E533,PRRAS!D536:E540,PRRAS!D543:E543,PRRAS!D553:E555,PRRAS!D559:E560,PRRAS!D576:E576,PRRAS!D579:E585,PRRAS!D595:E595,PRRAS!D598:E598,PRRAS!D602:E604)&gt;0),1,0)</f>
        <v>0</v>
      </c>
      <c r="I206" s="341"/>
      <c r="J206" s="343"/>
      <c r="K206" s="341"/>
      <c r="L206" s="341"/>
      <c r="M206" s="341"/>
      <c r="U206" s="325">
        <v>36233</v>
      </c>
    </row>
    <row r="207" spans="1:21" ht="35.1" customHeight="1" x14ac:dyDescent="0.2">
      <c r="A207" s="313">
        <f t="shared" si="16"/>
        <v>201</v>
      </c>
      <c r="B207" s="314" t="str">
        <f t="shared" si="8"/>
        <v>O.K.</v>
      </c>
      <c r="C207" s="357" t="s">
        <v>1625</v>
      </c>
      <c r="D207" s="340"/>
      <c r="E207" s="325">
        <f t="shared" si="15"/>
        <v>0</v>
      </c>
      <c r="F207" s="323">
        <v>0</v>
      </c>
      <c r="G207" s="324">
        <f>IF(AND($I$3=41,MAX(PRRAS!D632:E634,PRRAS!D637:E637,PRRAS!D640:E640,PRRAS!D659:E659,PRRAS!D661:E661,PRRAS!D734:E734,PRRAS!D736:E736,PRRAS!D738:E738,PRRAS!D740:E740)&gt;0),1,0)</f>
        <v>0</v>
      </c>
      <c r="I207" s="341"/>
      <c r="J207" s="343"/>
      <c r="K207" s="341"/>
      <c r="L207" s="341"/>
      <c r="M207" s="341"/>
      <c r="N207" s="344"/>
      <c r="U207" s="325">
        <v>36276</v>
      </c>
    </row>
    <row r="208" spans="1:21" ht="35.1" customHeight="1" x14ac:dyDescent="0.2">
      <c r="A208" s="313">
        <f>1+A207</f>
        <v>202</v>
      </c>
      <c r="B208" s="314" t="str">
        <f t="shared" si="8"/>
        <v>O.K.</v>
      </c>
      <c r="C208" s="357" t="s">
        <v>1626</v>
      </c>
      <c r="D208" s="340"/>
      <c r="E208" s="325">
        <f>MAX(G208:L208)</f>
        <v>0</v>
      </c>
      <c r="F208" s="323">
        <v>0</v>
      </c>
      <c r="G208" s="324">
        <f>IF(AND($I$3=42,MAX(PRRAS!D14:E45,PRRAS!D51:E55,PRRAS!D140:E144,PRRAS!D147:E147,PRRAS!D181:E181,PRRAS!D231:E236,PRRAS!D259:E264,PRRAS!D355:E355,PRRAS!D407:E407)&gt;0),1,0)</f>
        <v>0</v>
      </c>
      <c r="I208" s="343"/>
      <c r="J208" s="341"/>
      <c r="K208" s="341"/>
      <c r="L208" s="341"/>
      <c r="M208" s="341"/>
      <c r="U208" s="325">
        <v>36372</v>
      </c>
    </row>
    <row r="209" spans="1:21" ht="50.1" customHeight="1" x14ac:dyDescent="0.2">
      <c r="A209" s="313">
        <f>1+A208</f>
        <v>203</v>
      </c>
      <c r="B209" s="314" t="str">
        <f t="shared" si="8"/>
        <v>O.K.</v>
      </c>
      <c r="C209" s="357" t="s">
        <v>1627</v>
      </c>
      <c r="D209" s="340"/>
      <c r="E209" s="325">
        <f>MAX(G209:L209)</f>
        <v>0</v>
      </c>
      <c r="F209" s="323">
        <v>0</v>
      </c>
      <c r="G209" s="324">
        <f>IF(AND($I$3=42,MAX(PRRAS!D428:E432,PRRAS!D435:E435,PRRAS!D445:E447,PRRAS!D451:E452,PRRAS!D466:E468,PRRAS!D471:E474,PRRAS!D477:E477,PRRAS!D486:E486,PRRAS!D489:E489,PRRAS!D491:E495,PRRAS!D524:E524,PRRAS!D527:E530)&gt;0),1,0)</f>
        <v>0</v>
      </c>
      <c r="I209" s="343"/>
      <c r="J209" s="341"/>
      <c r="K209" s="341"/>
      <c r="L209" s="341"/>
      <c r="M209" s="341"/>
      <c r="U209" s="325">
        <v>36524</v>
      </c>
    </row>
    <row r="210" spans="1:21" ht="50.1" customHeight="1" x14ac:dyDescent="0.2">
      <c r="A210" s="313">
        <f>1+A209</f>
        <v>204</v>
      </c>
      <c r="B210" s="314" t="str">
        <f t="shared" si="8"/>
        <v>O.K.</v>
      </c>
      <c r="C210" s="357" t="s">
        <v>1628</v>
      </c>
      <c r="D210" s="340"/>
      <c r="E210" s="325">
        <f>MAX(G210:L210)</f>
        <v>0</v>
      </c>
      <c r="F210" s="323">
        <v>0</v>
      </c>
      <c r="G210" s="324">
        <f>IF(AND($I$3=42,MAX(PRRAS!D533:E533,PRRAS!D536:E540,PRRAS!D543:E543,PRRAS!D553:E555,PRRAS!D559:E560,PRRAS!D576:E576,PRRAS!D579:E585,PRRAS!D595:E595,PRRAS!D598:E598,PRRAS!D602:E604)&gt;0),1,0)</f>
        <v>0</v>
      </c>
      <c r="I210" s="343"/>
      <c r="J210" s="341"/>
      <c r="K210" s="341"/>
      <c r="L210" s="341"/>
      <c r="M210" s="341"/>
      <c r="U210" s="325">
        <v>36549</v>
      </c>
    </row>
    <row r="211" spans="1:21" ht="35.1" customHeight="1" x14ac:dyDescent="0.2">
      <c r="A211" s="313">
        <f>1+A210</f>
        <v>205</v>
      </c>
      <c r="B211" s="314" t="str">
        <f t="shared" si="8"/>
        <v>O.K.</v>
      </c>
      <c r="C211" s="357" t="s">
        <v>1629</v>
      </c>
      <c r="D211" s="340"/>
      <c r="E211" s="325">
        <f>MAX(G211:L211)</f>
        <v>0</v>
      </c>
      <c r="F211" s="323">
        <v>0</v>
      </c>
      <c r="G211" s="324">
        <f>IF(AND($I$3=42,MAX(PRRAS!D632:E634,PRRAS!D637:E637,PRRAS!D640:E640,PRRAS!D659:E659,PRRAS!D661:E661,PRRAS!D717:E717,PRRAS!D734:E734,PRRAS!D736:E736,PRRAS!D738:E738,PRRAS!D740:E740)&gt;0),1,0)</f>
        <v>0</v>
      </c>
      <c r="I211" s="343"/>
      <c r="J211" s="341"/>
      <c r="K211" s="341"/>
      <c r="L211" s="341"/>
      <c r="M211" s="341"/>
      <c r="U211" s="325">
        <v>36604</v>
      </c>
    </row>
    <row r="212" spans="1:21" ht="75" customHeight="1" x14ac:dyDescent="0.2">
      <c r="A212" s="313">
        <f>1+A211</f>
        <v>206</v>
      </c>
      <c r="B212" s="314" t="str">
        <f t="shared" si="8"/>
        <v>O.K.</v>
      </c>
      <c r="C212" s="357" t="s">
        <v>1630</v>
      </c>
      <c r="E212" s="325">
        <v>0</v>
      </c>
      <c r="F212" s="325">
        <f t="shared" ref="F212:F243" si="17">MAX(L212:O212)</f>
        <v>0</v>
      </c>
      <c r="L212" s="323">
        <f>IF(AND($I$3=11,OR(PRRAS!D659&gt;0,PRRAS!D661&gt;0),OR(PRRAS!D660&gt;0,PRRAS!D662&gt;0)),1,0)</f>
        <v>0</v>
      </c>
      <c r="M212" s="323">
        <f>IF(AND($I$3=11,OR(PRRAS!E659&gt;0,PRRAS!E661&gt;0),OR(PRRAS!E660&gt;0,PRRAS!E662&gt;0)),1,0)</f>
        <v>0</v>
      </c>
      <c r="U212" s="325">
        <v>36612</v>
      </c>
    </row>
    <row r="213" spans="1:21" ht="35.1" customHeight="1" x14ac:dyDescent="0.2">
      <c r="A213" s="313">
        <f t="shared" si="14"/>
        <v>207</v>
      </c>
      <c r="B213" s="314" t="str">
        <f t="shared" si="8"/>
        <v>O.K.</v>
      </c>
      <c r="C213" s="357" t="s">
        <v>1631</v>
      </c>
      <c r="E213" s="325">
        <v>0</v>
      </c>
      <c r="F213" s="325">
        <f t="shared" si="17"/>
        <v>0</v>
      </c>
      <c r="L213" s="323">
        <f>IF(AND(PRRAS!D30&gt;0,PRRAS!D664=0),1,0)</f>
        <v>0</v>
      </c>
      <c r="M213" s="323">
        <f>IF(AND(PRRAS!E30&gt;0,PRRAS!E664=0),1,0)</f>
        <v>0</v>
      </c>
      <c r="U213" s="325">
        <v>36645</v>
      </c>
    </row>
    <row r="214" spans="1:21" ht="50.1" customHeight="1" x14ac:dyDescent="0.2">
      <c r="A214" s="313">
        <f t="shared" si="14"/>
        <v>208</v>
      </c>
      <c r="B214" s="314" t="str">
        <f t="shared" si="8"/>
        <v>O.K.</v>
      </c>
      <c r="C214" s="357" t="s">
        <v>1632</v>
      </c>
      <c r="E214" s="325">
        <v>0</v>
      </c>
      <c r="F214" s="325">
        <f t="shared" si="17"/>
        <v>0</v>
      </c>
      <c r="L214" s="323">
        <f>IF(AND(PRRAS!D39&gt;0,SUM(PRRAS!D665:'PRRAS'!D666)=0),1,0)</f>
        <v>0</v>
      </c>
      <c r="M214" s="323">
        <f>IF(AND(PRRAS!E39&gt;0,SUM(PRRAS!E665:'PRRAS'!E666)=0),1,0)</f>
        <v>0</v>
      </c>
      <c r="U214" s="325">
        <v>36653</v>
      </c>
    </row>
    <row r="215" spans="1:21" ht="35.1" customHeight="1" x14ac:dyDescent="0.2">
      <c r="A215" s="313">
        <f t="shared" si="14"/>
        <v>209</v>
      </c>
      <c r="B215" s="314" t="str">
        <f t="shared" si="8"/>
        <v>Provjera</v>
      </c>
      <c r="C215" s="357" t="s">
        <v>1633</v>
      </c>
      <c r="E215" s="325">
        <v>0</v>
      </c>
      <c r="F215" s="325">
        <f t="shared" si="17"/>
        <v>1</v>
      </c>
      <c r="L215" s="323">
        <f>IF(AND(PRRAS!D96&gt;0,PRRAS!D708=0),1,0)</f>
        <v>0</v>
      </c>
      <c r="M215" s="323">
        <f>IF(AND(PRRAS!E96&gt;0,PRRAS!E708=0),1,0)</f>
        <v>1</v>
      </c>
      <c r="U215" s="325">
        <v>36688</v>
      </c>
    </row>
    <row r="216" spans="1:21" ht="65.099999999999994" customHeight="1" x14ac:dyDescent="0.2">
      <c r="A216" s="313">
        <f t="shared" si="14"/>
        <v>210</v>
      </c>
      <c r="B216" s="314" t="str">
        <f t="shared" ref="B216:B274" si="18">IF(E216=1,"Pogreška",IF(F216=1,"Provjera","O.K."))</f>
        <v>Provjera</v>
      </c>
      <c r="C216" s="357" t="s">
        <v>1634</v>
      </c>
      <c r="E216" s="325">
        <v>0</v>
      </c>
      <c r="F216" s="325">
        <f t="shared" si="17"/>
        <v>1</v>
      </c>
      <c r="L216" s="323">
        <f>IF(AND(PRRAS!D123&gt;0,SUM(PRRAS!D716:'PRRAS'!D718)=0),1,0)</f>
        <v>1</v>
      </c>
      <c r="M216" s="323">
        <f>IF(AND(PRRAS!E123&gt;0,SUM(PRRAS!E716:'PRRAS'!E718)=0),1,0)</f>
        <v>1</v>
      </c>
      <c r="U216" s="325">
        <v>36696</v>
      </c>
    </row>
    <row r="217" spans="1:21" ht="50.1" customHeight="1" x14ac:dyDescent="0.2">
      <c r="A217" s="313">
        <f t="shared" si="14"/>
        <v>211</v>
      </c>
      <c r="B217" s="314" t="str">
        <f t="shared" si="18"/>
        <v>Provjera</v>
      </c>
      <c r="C217" s="357" t="s">
        <v>1635</v>
      </c>
      <c r="E217" s="325">
        <v>0</v>
      </c>
      <c r="F217" s="325">
        <f t="shared" si="17"/>
        <v>1</v>
      </c>
      <c r="G217" s="347"/>
      <c r="H217" s="347"/>
      <c r="L217" s="323">
        <f>IF(AND(PRRAS!D164&gt;0,SUM(PRRAS!D722:D723)=0),1,0)</f>
        <v>1</v>
      </c>
      <c r="M217" s="323">
        <f>IF(AND(PRRAS!E164&gt;0,SUM(PRRAS!E722:E723)=0),1,0)</f>
        <v>1</v>
      </c>
      <c r="U217" s="325">
        <v>36707</v>
      </c>
    </row>
    <row r="218" spans="1:21" ht="35.1" customHeight="1" x14ac:dyDescent="0.2">
      <c r="A218" s="313">
        <f t="shared" si="14"/>
        <v>212</v>
      </c>
      <c r="B218" s="314" t="str">
        <f t="shared" si="18"/>
        <v>Provjera</v>
      </c>
      <c r="C218" s="357" t="s">
        <v>1636</v>
      </c>
      <c r="E218" s="325">
        <v>0</v>
      </c>
      <c r="F218" s="325">
        <f t="shared" si="17"/>
        <v>1</v>
      </c>
      <c r="G218" s="347"/>
      <c r="H218" s="347"/>
      <c r="L218" s="323">
        <f>IF(AND(PRRAS!D189&gt;0,PRRAS!D726=0),1,0)</f>
        <v>1</v>
      </c>
      <c r="M218" s="323">
        <f>IF(AND(PRRAS!E189&gt;0,PRRAS!E726=0),1,0)</f>
        <v>1</v>
      </c>
      <c r="U218" s="325">
        <v>36715</v>
      </c>
    </row>
    <row r="219" spans="1:21" ht="45" customHeight="1" x14ac:dyDescent="0.2">
      <c r="A219" s="313">
        <f t="shared" si="14"/>
        <v>213</v>
      </c>
      <c r="B219" s="314" t="str">
        <f t="shared" si="18"/>
        <v>O.K.</v>
      </c>
      <c r="C219" s="357" t="s">
        <v>1637</v>
      </c>
      <c r="E219" s="325">
        <v>0</v>
      </c>
      <c r="F219" s="325">
        <f t="shared" si="17"/>
        <v>0</v>
      </c>
      <c r="G219" s="347"/>
      <c r="H219" s="347"/>
      <c r="L219" s="323">
        <f>IF(AND(PRRAS!D190&gt;0,SUM(PRRAS!D727:D729)=0),1,0)</f>
        <v>0</v>
      </c>
      <c r="M219" s="323">
        <f>IF(AND(PRRAS!E190&gt;0,SUM(PRRAS!E727:E729)=0),1,0)</f>
        <v>0</v>
      </c>
      <c r="U219" s="325">
        <v>36723</v>
      </c>
    </row>
    <row r="220" spans="1:21" ht="35.1" customHeight="1" x14ac:dyDescent="0.2">
      <c r="A220" s="313">
        <f t="shared" si="14"/>
        <v>214</v>
      </c>
      <c r="B220" s="314" t="str">
        <f t="shared" si="18"/>
        <v>Provjera</v>
      </c>
      <c r="C220" s="357" t="s">
        <v>1638</v>
      </c>
      <c r="E220" s="325">
        <v>0</v>
      </c>
      <c r="F220" s="325">
        <f t="shared" si="17"/>
        <v>1</v>
      </c>
      <c r="G220" s="347"/>
      <c r="H220" s="347"/>
      <c r="L220" s="323">
        <f>IF(AND(PRRAS!D192&gt;0,PRRAS!D730=0),1,0)</f>
        <v>1</v>
      </c>
      <c r="M220" s="323">
        <f>IF(AND(PRRAS!E192&gt;0,PRRAS!E730=0),1,0)</f>
        <v>1</v>
      </c>
      <c r="U220" s="325">
        <v>36731</v>
      </c>
    </row>
    <row r="221" spans="1:21" ht="35.1" customHeight="1" x14ac:dyDescent="0.2">
      <c r="A221" s="313">
        <f t="shared" si="14"/>
        <v>215</v>
      </c>
      <c r="B221" s="314" t="str">
        <f t="shared" si="18"/>
        <v>O.K.</v>
      </c>
      <c r="C221" s="357" t="s">
        <v>1639</v>
      </c>
      <c r="E221" s="325">
        <v>0</v>
      </c>
      <c r="F221" s="325">
        <f t="shared" si="17"/>
        <v>0</v>
      </c>
      <c r="G221" s="347"/>
      <c r="H221" s="347"/>
      <c r="L221" s="323">
        <f>IF(AND(PRRAS!D195&gt;0,PRRAS!D731=0),1,0)</f>
        <v>0</v>
      </c>
      <c r="M221" s="323">
        <f>IF(AND(PRRAS!E195&gt;0,PRRAS!E731=0),1,0)</f>
        <v>0</v>
      </c>
      <c r="U221" s="325">
        <v>36758</v>
      </c>
    </row>
    <row r="222" spans="1:21" ht="35.1" customHeight="1" x14ac:dyDescent="0.2">
      <c r="A222" s="313">
        <f t="shared" si="14"/>
        <v>216</v>
      </c>
      <c r="B222" s="314" t="str">
        <f t="shared" si="18"/>
        <v>Provjera</v>
      </c>
      <c r="C222" s="357" t="s">
        <v>4106</v>
      </c>
      <c r="E222" s="325">
        <v>0</v>
      </c>
      <c r="F222" s="325">
        <f t="shared" si="17"/>
        <v>1</v>
      </c>
      <c r="G222" s="347"/>
      <c r="H222" s="347"/>
      <c r="L222" s="323">
        <f>IF(AND(PRRAS!D196&gt;0,PRRAS!D732=0),1,0)</f>
        <v>1</v>
      </c>
      <c r="M222" s="323">
        <f>IF(AND(PRRAS!E196&gt;0,PRRAS!E732=0),1,0)</f>
        <v>1</v>
      </c>
      <c r="U222" s="325">
        <v>36766</v>
      </c>
    </row>
    <row r="223" spans="1:21" ht="65.099999999999994" customHeight="1" x14ac:dyDescent="0.2">
      <c r="A223" s="313">
        <f t="shared" ref="A223:A254" si="19">1+A222</f>
        <v>217</v>
      </c>
      <c r="B223" s="314" t="str">
        <f t="shared" si="18"/>
        <v>O.K.</v>
      </c>
      <c r="C223" s="357" t="s">
        <v>580</v>
      </c>
      <c r="E223" s="325">
        <v>0</v>
      </c>
      <c r="F223" s="325">
        <f t="shared" si="17"/>
        <v>0</v>
      </c>
      <c r="G223" s="347"/>
      <c r="H223" s="347"/>
      <c r="L223" s="323">
        <f>IF(AND(PRRAS!D214&gt;0,SUM(PRRAS!D754:D756)=0),1,0)</f>
        <v>0</v>
      </c>
      <c r="M223" s="323">
        <f>IF(AND(PRRAS!E214&gt;0,SUM(PRRAS!E754:E756)=0),1,0)</f>
        <v>0</v>
      </c>
      <c r="U223" s="325">
        <v>36774</v>
      </c>
    </row>
    <row r="224" spans="1:21" ht="30" customHeight="1" x14ac:dyDescent="0.2">
      <c r="A224" s="313">
        <f t="shared" si="19"/>
        <v>218</v>
      </c>
      <c r="B224" s="314" t="str">
        <f t="shared" si="18"/>
        <v>Provjera</v>
      </c>
      <c r="C224" s="369" t="s">
        <v>164</v>
      </c>
      <c r="E224" s="325">
        <v>0</v>
      </c>
      <c r="F224" s="325">
        <f t="shared" si="17"/>
        <v>1</v>
      </c>
      <c r="L224" s="323">
        <f>IF(AND(PRRAS!D220&gt;0,PRRAS!D764=0),1,0)</f>
        <v>1</v>
      </c>
      <c r="M224" s="323">
        <f>IF(AND(PRRAS!E220&gt;0,PRRAS!E764=0),1,0)</f>
        <v>0</v>
      </c>
      <c r="U224" s="325">
        <v>36782</v>
      </c>
    </row>
    <row r="225" spans="1:21" ht="20.100000000000001" customHeight="1" x14ac:dyDescent="0.2">
      <c r="A225" s="313">
        <f t="shared" si="19"/>
        <v>219</v>
      </c>
      <c r="B225" s="314" t="str">
        <f t="shared" si="18"/>
        <v>O.K.</v>
      </c>
      <c r="C225" s="357" t="s">
        <v>581</v>
      </c>
      <c r="E225" s="325">
        <f>MAX(G225:K225)</f>
        <v>0</v>
      </c>
      <c r="F225" s="325">
        <f t="shared" si="17"/>
        <v>0</v>
      </c>
      <c r="G225" s="324">
        <f>IF(ABS(PRRAS!D266-SUM(PRRAS!D821:D829)&gt;1),1,0)</f>
        <v>0</v>
      </c>
      <c r="H225" s="324">
        <f>IF(ABS(PRRAS!E266-SUM(PRRAS!E821:E829)&gt;1),1,0)</f>
        <v>0</v>
      </c>
      <c r="U225" s="325">
        <v>36799</v>
      </c>
    </row>
    <row r="226" spans="1:21" ht="35.1" customHeight="1" x14ac:dyDescent="0.2">
      <c r="A226" s="313">
        <f t="shared" si="19"/>
        <v>220</v>
      </c>
      <c r="B226" s="314" t="str">
        <f t="shared" si="18"/>
        <v>Provjera</v>
      </c>
      <c r="C226" s="357" t="s">
        <v>2503</v>
      </c>
      <c r="E226" s="325">
        <v>0</v>
      </c>
      <c r="F226" s="325">
        <f t="shared" si="17"/>
        <v>1</v>
      </c>
      <c r="L226" s="323">
        <f>IF(AND(PRRAS!D271&gt;0,PRRAS!D835=0),1,0)</f>
        <v>1</v>
      </c>
      <c r="M226" s="323">
        <f>IF(AND(PRRAS!E271&gt;0,PRRAS!E835=0),1,0)</f>
        <v>1</v>
      </c>
      <c r="U226" s="325">
        <v>36838</v>
      </c>
    </row>
    <row r="227" spans="1:21" ht="35.1" customHeight="1" x14ac:dyDescent="0.2">
      <c r="A227" s="313">
        <f t="shared" si="19"/>
        <v>221</v>
      </c>
      <c r="B227" s="314" t="str">
        <f t="shared" si="18"/>
        <v>O.K.</v>
      </c>
      <c r="C227" s="357" t="s">
        <v>582</v>
      </c>
      <c r="E227" s="325">
        <v>0</v>
      </c>
      <c r="F227" s="325">
        <f t="shared" si="17"/>
        <v>0</v>
      </c>
      <c r="L227" s="323">
        <f>IF(AND(PRRAS!D434&gt;0,SUM(PRRAS!D852:D852)=0),1,0)</f>
        <v>0</v>
      </c>
      <c r="M227" s="323">
        <f>IF(AND(PRRAS!E434&gt;0,SUM(PRRAS!E852:E852)=0),1,0)</f>
        <v>0</v>
      </c>
      <c r="U227" s="325">
        <v>36846</v>
      </c>
    </row>
    <row r="228" spans="1:21" ht="35.1" customHeight="1" x14ac:dyDescent="0.2">
      <c r="A228" s="313">
        <f t="shared" si="19"/>
        <v>222</v>
      </c>
      <c r="B228" s="314" t="str">
        <f t="shared" si="18"/>
        <v>O.K.</v>
      </c>
      <c r="C228" s="357" t="s">
        <v>2502</v>
      </c>
      <c r="E228" s="325">
        <v>0</v>
      </c>
      <c r="F228" s="325">
        <f t="shared" si="17"/>
        <v>0</v>
      </c>
      <c r="L228" s="323">
        <f>IF(AND(PRRAS!D437&gt;0,SUM(PRRAS!D853:D853)=0),1,0)</f>
        <v>0</v>
      </c>
      <c r="M228" s="323">
        <f>IF(AND(PRRAS!E437&gt;0,SUM(PRRAS!E853:E853)=0),1,0)</f>
        <v>0</v>
      </c>
      <c r="U228" s="325">
        <v>36862</v>
      </c>
    </row>
    <row r="229" spans="1:21" ht="35.1" customHeight="1" x14ac:dyDescent="0.2">
      <c r="A229" s="313">
        <f t="shared" si="19"/>
        <v>223</v>
      </c>
      <c r="B229" s="314" t="str">
        <f t="shared" si="18"/>
        <v>O.K.</v>
      </c>
      <c r="C229" s="357" t="s">
        <v>2504</v>
      </c>
      <c r="E229" s="325">
        <v>0</v>
      </c>
      <c r="F229" s="325">
        <f t="shared" si="17"/>
        <v>0</v>
      </c>
      <c r="L229" s="323">
        <f>IF(AND(PRRAS!D438&gt;0,SUM(PRRAS!D854:D854)=0),1,0)</f>
        <v>0</v>
      </c>
      <c r="M229" s="323">
        <f>IF(AND(PRRAS!E438&gt;0,SUM(PRRAS!E854:E854)=0),1,0)</f>
        <v>0</v>
      </c>
      <c r="U229" s="325">
        <v>36879</v>
      </c>
    </row>
    <row r="230" spans="1:21" ht="35.1" customHeight="1" x14ac:dyDescent="0.2">
      <c r="A230" s="313">
        <f t="shared" si="19"/>
        <v>224</v>
      </c>
      <c r="B230" s="314" t="str">
        <f t="shared" si="18"/>
        <v>O.K.</v>
      </c>
      <c r="C230" s="357" t="s">
        <v>2505</v>
      </c>
      <c r="E230" s="325">
        <v>0</v>
      </c>
      <c r="F230" s="325">
        <f t="shared" si="17"/>
        <v>0</v>
      </c>
      <c r="L230" s="323">
        <f>IF(AND(PRRAS!D439&gt;0,SUM(PRRAS!D855:D855)=0),1,0)</f>
        <v>0</v>
      </c>
      <c r="M230" s="323">
        <f>IF(AND(PRRAS!E439&gt;0,SUM(PRRAS!E855:E855)=0),1,0)</f>
        <v>0</v>
      </c>
      <c r="U230" s="325">
        <v>36895</v>
      </c>
    </row>
    <row r="231" spans="1:21" ht="35.1" customHeight="1" x14ac:dyDescent="0.2">
      <c r="A231" s="313">
        <f t="shared" si="19"/>
        <v>225</v>
      </c>
      <c r="B231" s="314" t="str">
        <f t="shared" si="18"/>
        <v>O.K.</v>
      </c>
      <c r="C231" s="357" t="s">
        <v>2506</v>
      </c>
      <c r="E231" s="325">
        <v>0</v>
      </c>
      <c r="F231" s="325">
        <f t="shared" si="17"/>
        <v>0</v>
      </c>
      <c r="L231" s="323">
        <f>IF(AND(PRRAS!D442&gt;0,SUM(PRRAS!D858:D858)=0),1,0)</f>
        <v>0</v>
      </c>
      <c r="M231" s="323">
        <f>IF(AND(PRRAS!E442&gt;0,SUM(PRRAS!E858:E858)=0),1,0)</f>
        <v>0</v>
      </c>
      <c r="U231" s="325">
        <v>36900</v>
      </c>
    </row>
    <row r="232" spans="1:21" ht="35.1" customHeight="1" x14ac:dyDescent="0.2">
      <c r="A232" s="313">
        <f t="shared" si="19"/>
        <v>226</v>
      </c>
      <c r="B232" s="314" t="str">
        <f t="shared" si="18"/>
        <v>O.K.</v>
      </c>
      <c r="C232" s="357" t="s">
        <v>2507</v>
      </c>
      <c r="E232" s="325">
        <v>0</v>
      </c>
      <c r="F232" s="325">
        <f t="shared" si="17"/>
        <v>0</v>
      </c>
      <c r="L232" s="323">
        <f>IF(AND(PRRAS!D443&gt;0,SUM(PRRAS!D859:D859)=0),1,0)</f>
        <v>0</v>
      </c>
      <c r="M232" s="323">
        <f>IF(AND(PRRAS!E443&gt;0,SUM(PRRAS!E859:E859)=0),1,0)</f>
        <v>0</v>
      </c>
      <c r="U232" s="325">
        <v>36926</v>
      </c>
    </row>
    <row r="233" spans="1:21" ht="35.1" customHeight="1" x14ac:dyDescent="0.2">
      <c r="A233" s="313">
        <f t="shared" si="19"/>
        <v>227</v>
      </c>
      <c r="B233" s="314" t="str">
        <f t="shared" si="18"/>
        <v>O.K.</v>
      </c>
      <c r="C233" s="357" t="s">
        <v>2508</v>
      </c>
      <c r="E233" s="325">
        <v>0</v>
      </c>
      <c r="F233" s="325">
        <f t="shared" si="17"/>
        <v>0</v>
      </c>
      <c r="L233" s="323">
        <f>IF(AND(PRRAS!D444&gt;0,SUM(PRRAS!D860:D860)=0),1,0)</f>
        <v>0</v>
      </c>
      <c r="M233" s="323">
        <f>IF(AND(PRRAS!E444&gt;0,SUM(PRRAS!E860:E860)=0),1,0)</f>
        <v>0</v>
      </c>
      <c r="U233" s="325">
        <v>36975</v>
      </c>
    </row>
    <row r="234" spans="1:21" ht="35.1" customHeight="1" x14ac:dyDescent="0.2">
      <c r="A234" s="313">
        <f t="shared" si="19"/>
        <v>228</v>
      </c>
      <c r="B234" s="314" t="str">
        <f t="shared" si="18"/>
        <v>O.K.</v>
      </c>
      <c r="C234" s="357" t="s">
        <v>4107</v>
      </c>
      <c r="E234" s="325">
        <v>0</v>
      </c>
      <c r="F234" s="325">
        <f t="shared" si="17"/>
        <v>0</v>
      </c>
      <c r="L234" s="323">
        <f>IF(AND(PRRAS!D476&gt;0,PRRAS!D879=0),1,0)</f>
        <v>0</v>
      </c>
      <c r="M234" s="323">
        <f>IF(AND(PRRAS!E476&gt;0,PRRAS!E879=0),1,0)</f>
        <v>0</v>
      </c>
      <c r="U234" s="325">
        <v>37009</v>
      </c>
    </row>
    <row r="235" spans="1:21" ht="35.1" customHeight="1" x14ac:dyDescent="0.2">
      <c r="A235" s="313">
        <f t="shared" si="19"/>
        <v>229</v>
      </c>
      <c r="B235" s="314" t="str">
        <f t="shared" si="18"/>
        <v>O.K.</v>
      </c>
      <c r="C235" s="357" t="s">
        <v>4049</v>
      </c>
      <c r="E235" s="325">
        <v>0</v>
      </c>
      <c r="F235" s="325">
        <f t="shared" si="17"/>
        <v>0</v>
      </c>
      <c r="L235" s="323">
        <f>IF(AND(PRRAS!D492&gt;0,PRRAS!D880=0),1,0)</f>
        <v>0</v>
      </c>
      <c r="M235" s="323">
        <f>IF(AND(PRRAS!E492&gt;0,PRRAS!E880=0),1,0)</f>
        <v>0</v>
      </c>
      <c r="U235" s="325">
        <v>37033</v>
      </c>
    </row>
    <row r="236" spans="1:21" ht="35.1" customHeight="1" x14ac:dyDescent="0.2">
      <c r="A236" s="313">
        <f t="shared" si="19"/>
        <v>230</v>
      </c>
      <c r="B236" s="314" t="str">
        <f t="shared" si="18"/>
        <v>O.K.</v>
      </c>
      <c r="C236" s="357" t="s">
        <v>4050</v>
      </c>
      <c r="E236" s="325">
        <v>0</v>
      </c>
      <c r="F236" s="325">
        <f t="shared" si="17"/>
        <v>0</v>
      </c>
      <c r="L236" s="323">
        <f>IF(AND(PRRAS!D493&gt;0,PRRAS!D881=0),1,0)</f>
        <v>0</v>
      </c>
      <c r="M236" s="323">
        <f>IF(AND(PRRAS!E493&gt;0,PRRAS!E881=0),1,0)</f>
        <v>0</v>
      </c>
      <c r="U236" s="325">
        <v>37041</v>
      </c>
    </row>
    <row r="237" spans="1:21" ht="35.1" customHeight="1" x14ac:dyDescent="0.2">
      <c r="A237" s="313">
        <f t="shared" si="19"/>
        <v>231</v>
      </c>
      <c r="B237" s="314" t="str">
        <f t="shared" si="18"/>
        <v>O.K.</v>
      </c>
      <c r="C237" s="357" t="s">
        <v>4051</v>
      </c>
      <c r="E237" s="325">
        <v>0</v>
      </c>
      <c r="F237" s="325">
        <f t="shared" si="17"/>
        <v>0</v>
      </c>
      <c r="L237" s="323">
        <f>IF(AND(PRRAS!D494&gt;0,PRRAS!D882=0),1,0)</f>
        <v>0</v>
      </c>
      <c r="M237" s="323">
        <f>IF(AND(PRRAS!E494&gt;0,PRRAS!E882=0),1,0)</f>
        <v>0</v>
      </c>
      <c r="U237" s="325">
        <v>37050</v>
      </c>
    </row>
    <row r="238" spans="1:21" ht="35.1" customHeight="1" x14ac:dyDescent="0.2">
      <c r="A238" s="313">
        <f t="shared" si="19"/>
        <v>232</v>
      </c>
      <c r="B238" s="314" t="str">
        <f t="shared" si="18"/>
        <v>O.K.</v>
      </c>
      <c r="C238" s="357" t="s">
        <v>4052</v>
      </c>
      <c r="E238" s="325">
        <v>0</v>
      </c>
      <c r="F238" s="325">
        <f t="shared" si="17"/>
        <v>0</v>
      </c>
      <c r="L238" s="323">
        <f>IF(AND(PRRAS!D495&gt;0,PRRAS!D883=0),1,0)</f>
        <v>0</v>
      </c>
      <c r="M238" s="323">
        <f>IF(AND(PRRAS!E495&gt;0,PRRAS!E883=0),1,0)</f>
        <v>0</v>
      </c>
      <c r="U238" s="325">
        <v>37084</v>
      </c>
    </row>
    <row r="239" spans="1:21" ht="50.1" customHeight="1" x14ac:dyDescent="0.2">
      <c r="A239" s="313">
        <f t="shared" si="19"/>
        <v>233</v>
      </c>
      <c r="B239" s="314" t="str">
        <f t="shared" si="18"/>
        <v>O.K.</v>
      </c>
      <c r="C239" s="357" t="s">
        <v>4053</v>
      </c>
      <c r="E239" s="325">
        <v>0</v>
      </c>
      <c r="F239" s="325">
        <f t="shared" si="17"/>
        <v>0</v>
      </c>
      <c r="L239" s="323">
        <f>IF(AND(PRRAS!D498&gt;0,PRRAS!D887=0),1,0)</f>
        <v>0</v>
      </c>
      <c r="M239" s="323">
        <f>IF(AND(PRRAS!E498&gt;0,PRRAS!E887=0),1,0)</f>
        <v>0</v>
      </c>
      <c r="U239" s="325">
        <v>37105</v>
      </c>
    </row>
    <row r="240" spans="1:21" ht="35.1" customHeight="1" x14ac:dyDescent="0.2">
      <c r="A240" s="313">
        <f t="shared" si="19"/>
        <v>234</v>
      </c>
      <c r="B240" s="314" t="str">
        <f t="shared" si="18"/>
        <v>O.K.</v>
      </c>
      <c r="C240" s="357" t="s">
        <v>4054</v>
      </c>
      <c r="E240" s="325">
        <v>0</v>
      </c>
      <c r="F240" s="325">
        <f t="shared" si="17"/>
        <v>0</v>
      </c>
      <c r="L240" s="323">
        <f>IF(AND(PRRAS!D499&gt;0,SUM(PRRAS!D888:D889)=0),1,0)</f>
        <v>0</v>
      </c>
      <c r="M240" s="323">
        <f>IF(AND(PRRAS!E499&gt;0,SUM(PRRAS!E888:E889)=0),1,0)</f>
        <v>0</v>
      </c>
      <c r="U240" s="325">
        <v>37130</v>
      </c>
    </row>
    <row r="241" spans="1:21" ht="35.1" customHeight="1" x14ac:dyDescent="0.2">
      <c r="A241" s="313">
        <f t="shared" si="19"/>
        <v>235</v>
      </c>
      <c r="B241" s="314" t="str">
        <f t="shared" si="18"/>
        <v>O.K.</v>
      </c>
      <c r="C241" s="357" t="s">
        <v>1930</v>
      </c>
      <c r="E241" s="325">
        <v>0</v>
      </c>
      <c r="F241" s="325">
        <f t="shared" si="17"/>
        <v>0</v>
      </c>
      <c r="L241" s="323">
        <f>IF(AND(PRRAS!D500&gt;0,PRRAS!D890=0),1,0)</f>
        <v>0</v>
      </c>
      <c r="M241" s="323">
        <f>IF(AND(PRRAS!E500&gt;0,PRRAS!E890=0),1,0)</f>
        <v>0</v>
      </c>
      <c r="U241" s="325">
        <v>37164</v>
      </c>
    </row>
    <row r="242" spans="1:21" ht="50.1" customHeight="1" x14ac:dyDescent="0.2">
      <c r="A242" s="313">
        <f t="shared" si="19"/>
        <v>236</v>
      </c>
      <c r="B242" s="314" t="str">
        <f t="shared" si="18"/>
        <v>O.K.</v>
      </c>
      <c r="C242" s="357" t="s">
        <v>32</v>
      </c>
      <c r="E242" s="325">
        <v>0</v>
      </c>
      <c r="F242" s="325">
        <f t="shared" si="17"/>
        <v>0</v>
      </c>
      <c r="L242" s="323">
        <f>IF(AND(PRRAS!D503&gt;0,PRRAS!D894=0),1,0)</f>
        <v>0</v>
      </c>
      <c r="M242" s="323">
        <f>IF(AND(PRRAS!E503&gt;0,PRRAS!E894=0),1,0)</f>
        <v>0</v>
      </c>
      <c r="U242" s="325">
        <v>37201</v>
      </c>
    </row>
    <row r="243" spans="1:21" ht="35.1" customHeight="1" x14ac:dyDescent="0.2">
      <c r="A243" s="313">
        <f t="shared" si="19"/>
        <v>237</v>
      </c>
      <c r="B243" s="314" t="str">
        <f t="shared" si="18"/>
        <v>O.K.</v>
      </c>
      <c r="C243" s="357" t="s">
        <v>33</v>
      </c>
      <c r="E243" s="325">
        <v>0</v>
      </c>
      <c r="F243" s="325">
        <f t="shared" si="17"/>
        <v>0</v>
      </c>
      <c r="L243" s="323">
        <f>IF(AND(PRRAS!D504&gt;0,SUM(PRRAS!D895:D896)=0),1,0)</f>
        <v>0</v>
      </c>
      <c r="M243" s="323">
        <f>IF(AND(PRRAS!E504&gt;0,SUM(PRRAS!E895:E896)=0),1,0)</f>
        <v>0</v>
      </c>
      <c r="U243" s="325">
        <v>37293</v>
      </c>
    </row>
    <row r="244" spans="1:21" ht="35.1" customHeight="1" x14ac:dyDescent="0.2">
      <c r="A244" s="313">
        <f t="shared" si="19"/>
        <v>238</v>
      </c>
      <c r="B244" s="314" t="str">
        <f t="shared" si="18"/>
        <v>O.K.</v>
      </c>
      <c r="C244" s="357" t="s">
        <v>34</v>
      </c>
      <c r="E244" s="325">
        <v>0</v>
      </c>
      <c r="F244" s="325">
        <f t="shared" ref="F244:F274" si="20">MAX(L244:O244)</f>
        <v>0</v>
      </c>
      <c r="L244" s="323">
        <f>IF(AND(PRRAS!D506&gt;0,PRRAS!D900=0),1,0)</f>
        <v>0</v>
      </c>
      <c r="M244" s="323">
        <f>IF(AND(PRRAS!E506&gt;0,PRRAS!E900=0),1,0)</f>
        <v>0</v>
      </c>
      <c r="U244" s="325">
        <v>37308</v>
      </c>
    </row>
    <row r="245" spans="1:21" ht="35.1" customHeight="1" x14ac:dyDescent="0.2">
      <c r="A245" s="313">
        <f t="shared" si="19"/>
        <v>239</v>
      </c>
      <c r="B245" s="314" t="str">
        <f t="shared" si="18"/>
        <v>O.K.</v>
      </c>
      <c r="C245" s="357" t="s">
        <v>35</v>
      </c>
      <c r="E245" s="325">
        <v>0</v>
      </c>
      <c r="F245" s="325">
        <f t="shared" si="20"/>
        <v>0</v>
      </c>
      <c r="L245" s="323">
        <f>IF(AND(PRRAS!D507&gt;0,SUM(PRRAS!D901:D902)=0),1,0)</f>
        <v>0</v>
      </c>
      <c r="M245" s="323">
        <f>IF(AND(PRRAS!E507&gt;0,SUM(PRRAS!E901:E902)=0),1,0)</f>
        <v>0</v>
      </c>
      <c r="U245" s="325">
        <v>37316</v>
      </c>
    </row>
    <row r="246" spans="1:21" ht="50.1" customHeight="1" x14ac:dyDescent="0.2">
      <c r="A246" s="313">
        <f t="shared" si="19"/>
        <v>240</v>
      </c>
      <c r="B246" s="314" t="str">
        <f t="shared" si="18"/>
        <v>O.K.</v>
      </c>
      <c r="C246" s="357" t="s">
        <v>292</v>
      </c>
      <c r="E246" s="325">
        <v>0</v>
      </c>
      <c r="F246" s="325">
        <f t="shared" si="20"/>
        <v>0</v>
      </c>
      <c r="L246" s="323">
        <f>IF(AND(PRRAS!D509&gt;0,PRRAS!D903=0),1,0)</f>
        <v>0</v>
      </c>
      <c r="M246" s="323">
        <f>IF(AND(PRRAS!E509&gt;0,PRRAS!E903=0),1,0)</f>
        <v>0</v>
      </c>
      <c r="U246" s="325">
        <v>37324</v>
      </c>
    </row>
    <row r="247" spans="1:21" ht="35.1" customHeight="1" x14ac:dyDescent="0.2">
      <c r="A247" s="313">
        <f t="shared" si="19"/>
        <v>241</v>
      </c>
      <c r="B247" s="314" t="str">
        <f t="shared" si="18"/>
        <v>O.K.</v>
      </c>
      <c r="C247" s="357" t="s">
        <v>294</v>
      </c>
      <c r="E247" s="325">
        <v>0</v>
      </c>
      <c r="F247" s="325">
        <f t="shared" si="20"/>
        <v>0</v>
      </c>
      <c r="L247" s="323">
        <f>IF(AND(PRRAS!D510&gt;0,PRRAS!D904=0),1,0)</f>
        <v>0</v>
      </c>
      <c r="M247" s="323">
        <f>IF(AND(PRRAS!E510&gt;0,PRRAS!E904=0),1,0)</f>
        <v>0</v>
      </c>
      <c r="U247" s="325">
        <v>37332</v>
      </c>
    </row>
    <row r="248" spans="1:21" ht="35.1" customHeight="1" x14ac:dyDescent="0.2">
      <c r="A248" s="313">
        <f t="shared" si="19"/>
        <v>242</v>
      </c>
      <c r="B248" s="314" t="str">
        <f t="shared" si="18"/>
        <v>O.K.</v>
      </c>
      <c r="C248" s="357" t="s">
        <v>293</v>
      </c>
      <c r="E248" s="325">
        <v>0</v>
      </c>
      <c r="F248" s="325">
        <f t="shared" si="20"/>
        <v>0</v>
      </c>
      <c r="L248" s="323">
        <f>IF(AND(PRRAS!D511&gt;0,PRRAS!D905=0),1,0)</f>
        <v>0</v>
      </c>
      <c r="M248" s="323">
        <f>IF(AND(PRRAS!E511&gt;0,PRRAS!E905=0),1,0)</f>
        <v>0</v>
      </c>
      <c r="U248" s="325">
        <v>37349</v>
      </c>
    </row>
    <row r="249" spans="1:21" ht="35.1" customHeight="1" x14ac:dyDescent="0.2">
      <c r="A249" s="313">
        <f t="shared" si="19"/>
        <v>243</v>
      </c>
      <c r="B249" s="314" t="str">
        <f t="shared" si="18"/>
        <v>O.K.</v>
      </c>
      <c r="C249" s="357" t="s">
        <v>295</v>
      </c>
      <c r="E249" s="325">
        <v>0</v>
      </c>
      <c r="F249" s="325">
        <f t="shared" si="20"/>
        <v>0</v>
      </c>
      <c r="L249" s="323">
        <f>IF(AND(PRRAS!D532&gt;0,PRRAS!D920=0),1,0)</f>
        <v>0</v>
      </c>
      <c r="M249" s="323">
        <f>IF(AND(PRRAS!E532&gt;0,PRRAS!E920=0),1,0)</f>
        <v>0</v>
      </c>
      <c r="U249" s="325">
        <v>37620</v>
      </c>
    </row>
    <row r="250" spans="1:21" ht="35.1" customHeight="1" x14ac:dyDescent="0.2">
      <c r="A250" s="313">
        <f t="shared" si="19"/>
        <v>244</v>
      </c>
      <c r="B250" s="314" t="str">
        <f t="shared" si="18"/>
        <v>O.K.</v>
      </c>
      <c r="C250" s="357" t="s">
        <v>298</v>
      </c>
      <c r="E250" s="325">
        <v>0</v>
      </c>
      <c r="F250" s="325">
        <f t="shared" si="20"/>
        <v>0</v>
      </c>
      <c r="L250" s="323">
        <f>IF(AND(PRRAS!D542&gt;0,SUM(PRRAS!D921:D921)=0),1,0)</f>
        <v>0</v>
      </c>
      <c r="M250" s="323">
        <f>IF(AND(PRRAS!E542&gt;0,SUM(PRRAS!E921:E921)=0),1,0)</f>
        <v>0</v>
      </c>
      <c r="U250" s="325">
        <v>37646</v>
      </c>
    </row>
    <row r="251" spans="1:21" ht="35.1" customHeight="1" x14ac:dyDescent="0.2">
      <c r="A251" s="313">
        <f t="shared" si="19"/>
        <v>245</v>
      </c>
      <c r="B251" s="314" t="str">
        <f t="shared" si="18"/>
        <v>O.K.</v>
      </c>
      <c r="C251" s="357" t="s">
        <v>296</v>
      </c>
      <c r="E251" s="325">
        <v>0</v>
      </c>
      <c r="F251" s="325">
        <f t="shared" si="20"/>
        <v>0</v>
      </c>
      <c r="L251" s="323">
        <f>IF(AND(PRRAS!D545&gt;0,SUM(PRRAS!D922:D922)=0),1,0)</f>
        <v>0</v>
      </c>
      <c r="M251" s="323">
        <f>IF(AND(PRRAS!E545&gt;0,SUM(PRRAS!E922:E922)=0),1,0)</f>
        <v>0</v>
      </c>
      <c r="U251" s="325">
        <v>37662</v>
      </c>
    </row>
    <row r="252" spans="1:21" ht="35.1" customHeight="1" x14ac:dyDescent="0.2">
      <c r="A252" s="313">
        <f t="shared" si="19"/>
        <v>246</v>
      </c>
      <c r="B252" s="314" t="str">
        <f t="shared" si="18"/>
        <v>O.K.</v>
      </c>
      <c r="C252" s="357" t="s">
        <v>297</v>
      </c>
      <c r="E252" s="325">
        <v>0</v>
      </c>
      <c r="F252" s="325">
        <f t="shared" si="20"/>
        <v>0</v>
      </c>
      <c r="L252" s="323">
        <f>IF(AND(PRRAS!D546&gt;0,SUM(PRRAS!D923:D923)=0),1,0)</f>
        <v>0</v>
      </c>
      <c r="M252" s="323">
        <f>IF(AND(PRRAS!E546&gt;0,SUM(PRRAS!E923:E923)=0),1,0)</f>
        <v>0</v>
      </c>
      <c r="U252" s="325">
        <v>37679</v>
      </c>
    </row>
    <row r="253" spans="1:21" ht="35.1" customHeight="1" x14ac:dyDescent="0.2">
      <c r="A253" s="313">
        <f t="shared" si="19"/>
        <v>247</v>
      </c>
      <c r="B253" s="314" t="str">
        <f t="shared" si="18"/>
        <v>O.K.</v>
      </c>
      <c r="C253" s="357" t="s">
        <v>301</v>
      </c>
      <c r="E253" s="325">
        <v>0</v>
      </c>
      <c r="F253" s="325">
        <f t="shared" si="20"/>
        <v>0</v>
      </c>
      <c r="L253" s="323">
        <f>IF(AND(PRRAS!D547&gt;0,SUM(PRRAS!D924:D924)=0),1,0)</f>
        <v>0</v>
      </c>
      <c r="M253" s="323">
        <f>IF(AND(PRRAS!E547&gt;0,SUM(PRRAS!E924:E924)=0),1,0)</f>
        <v>0</v>
      </c>
      <c r="U253" s="325">
        <v>37695</v>
      </c>
    </row>
    <row r="254" spans="1:21" ht="35.1" customHeight="1" x14ac:dyDescent="0.2">
      <c r="A254" s="313">
        <f t="shared" si="19"/>
        <v>248</v>
      </c>
      <c r="B254" s="314" t="str">
        <f t="shared" si="18"/>
        <v>O.K.</v>
      </c>
      <c r="C254" s="357" t="s">
        <v>300</v>
      </c>
      <c r="E254" s="325">
        <v>0</v>
      </c>
      <c r="F254" s="325">
        <f t="shared" si="20"/>
        <v>0</v>
      </c>
      <c r="L254" s="323">
        <f>IF(AND(PRRAS!D550&gt;0,SUM(PRRAS!D927:D927)=0),1,0)</f>
        <v>0</v>
      </c>
      <c r="M254" s="323">
        <f>IF(AND(PRRAS!E550&gt;0,SUM(PRRAS!E927:E927)=0),1,0)</f>
        <v>0</v>
      </c>
      <c r="U254" s="325">
        <v>37814</v>
      </c>
    </row>
    <row r="255" spans="1:21" ht="35.1" customHeight="1" x14ac:dyDescent="0.2">
      <c r="A255" s="313">
        <f t="shared" ref="A255:A274" si="21">1+A254</f>
        <v>249</v>
      </c>
      <c r="B255" s="314" t="str">
        <f t="shared" si="18"/>
        <v>O.K.</v>
      </c>
      <c r="C255" s="357" t="s">
        <v>299</v>
      </c>
      <c r="E255" s="325">
        <v>0</v>
      </c>
      <c r="F255" s="325">
        <f t="shared" si="20"/>
        <v>0</v>
      </c>
      <c r="L255" s="323">
        <f>IF(AND(PRRAS!D551&gt;0,SUM(PRRAS!D928:D928)=0),1,0)</f>
        <v>0</v>
      </c>
      <c r="M255" s="323">
        <f>IF(AND(PRRAS!E551&gt;0,SUM(PRRAS!E928:E928)=0),1,0)</f>
        <v>0</v>
      </c>
      <c r="U255" s="325">
        <v>37935</v>
      </c>
    </row>
    <row r="256" spans="1:21" ht="35.1" customHeight="1" x14ac:dyDescent="0.2">
      <c r="A256" s="313">
        <f t="shared" si="21"/>
        <v>250</v>
      </c>
      <c r="B256" s="314" t="str">
        <f t="shared" si="18"/>
        <v>O.K.</v>
      </c>
      <c r="C256" s="357" t="s">
        <v>302</v>
      </c>
      <c r="E256" s="325">
        <v>0</v>
      </c>
      <c r="F256" s="325">
        <f t="shared" si="20"/>
        <v>0</v>
      </c>
      <c r="L256" s="323">
        <f>IF(AND(PRRAS!D552&gt;0,SUM(PRRAS!D929:D929)=0),1,0)</f>
        <v>0</v>
      </c>
      <c r="M256" s="323">
        <f>IF(AND(PRRAS!E552&gt;0,SUM(PRRAS!E929:E929)=0),1,0)</f>
        <v>0</v>
      </c>
      <c r="U256" s="325">
        <v>38001</v>
      </c>
    </row>
    <row r="257" spans="1:21" ht="50.1" customHeight="1" x14ac:dyDescent="0.2">
      <c r="A257" s="313">
        <f t="shared" si="21"/>
        <v>251</v>
      </c>
      <c r="B257" s="314" t="str">
        <f t="shared" si="18"/>
        <v>O.K.</v>
      </c>
      <c r="C257" s="357" t="s">
        <v>4108</v>
      </c>
      <c r="E257" s="325">
        <v>0</v>
      </c>
      <c r="F257" s="325">
        <f t="shared" si="20"/>
        <v>0</v>
      </c>
      <c r="L257" s="323">
        <f>IF(AND(PRRAS!D601&gt;0,PRRAS!D948=0),1,0)</f>
        <v>0</v>
      </c>
      <c r="M257" s="323">
        <f>IF(AND(PRRAS!E601&gt;0,PRRAS!E948=0),1,0)</f>
        <v>0</v>
      </c>
      <c r="U257" s="325">
        <v>38331</v>
      </c>
    </row>
    <row r="258" spans="1:21" ht="50.1" customHeight="1" x14ac:dyDescent="0.2">
      <c r="A258" s="313">
        <f t="shared" si="21"/>
        <v>252</v>
      </c>
      <c r="B258" s="314" t="str">
        <f t="shared" si="18"/>
        <v>O.K.</v>
      </c>
      <c r="C258" s="357" t="s">
        <v>303</v>
      </c>
      <c r="E258" s="325">
        <v>0</v>
      </c>
      <c r="F258" s="325">
        <f t="shared" si="20"/>
        <v>0</v>
      </c>
      <c r="L258" s="323">
        <f>IF(AND(PRRAS!D602&gt;0,PRRAS!D949=0),1,0)</f>
        <v>0</v>
      </c>
      <c r="M258" s="323">
        <f>IF(AND(PRRAS!E602&gt;0,PRRAS!E949=0),1,0)</f>
        <v>0</v>
      </c>
      <c r="U258" s="325">
        <v>38340</v>
      </c>
    </row>
    <row r="259" spans="1:21" ht="50.1" customHeight="1" x14ac:dyDescent="0.2">
      <c r="A259" s="313">
        <f t="shared" si="21"/>
        <v>253</v>
      </c>
      <c r="B259" s="314" t="str">
        <f t="shared" si="18"/>
        <v>O.K.</v>
      </c>
      <c r="C259" s="357" t="s">
        <v>304</v>
      </c>
      <c r="E259" s="325">
        <v>0</v>
      </c>
      <c r="F259" s="325">
        <f t="shared" si="20"/>
        <v>0</v>
      </c>
      <c r="L259" s="323">
        <f>IF(AND(PRRAS!D603&gt;0,PRRAS!D950=0),1,0)</f>
        <v>0</v>
      </c>
      <c r="M259" s="323">
        <f>IF(AND(PRRAS!E603&gt;0,PRRAS!E950=0),1,0)</f>
        <v>0</v>
      </c>
      <c r="U259" s="325">
        <v>38374</v>
      </c>
    </row>
    <row r="260" spans="1:21" ht="50.1" customHeight="1" x14ac:dyDescent="0.2">
      <c r="A260" s="313">
        <f t="shared" si="21"/>
        <v>254</v>
      </c>
      <c r="B260" s="314" t="str">
        <f t="shared" si="18"/>
        <v>O.K.</v>
      </c>
      <c r="C260" s="357" t="s">
        <v>305</v>
      </c>
      <c r="E260" s="325">
        <v>0</v>
      </c>
      <c r="F260" s="325">
        <f t="shared" si="20"/>
        <v>0</v>
      </c>
      <c r="L260" s="323">
        <f>IF(AND(PRRAS!D604&gt;0,PRRAS!D951=0),1,0)</f>
        <v>0</v>
      </c>
      <c r="M260" s="323">
        <f>IF(AND(PRRAS!E604&gt;0,PRRAS!E951=0),1,0)</f>
        <v>0</v>
      </c>
      <c r="U260" s="325">
        <v>40834</v>
      </c>
    </row>
    <row r="261" spans="1:21" ht="50.1" customHeight="1" x14ac:dyDescent="0.2">
      <c r="A261" s="313">
        <f t="shared" si="21"/>
        <v>255</v>
      </c>
      <c r="B261" s="314" t="str">
        <f t="shared" si="18"/>
        <v>O.K.</v>
      </c>
      <c r="C261" s="357" t="s">
        <v>306</v>
      </c>
      <c r="E261" s="325">
        <v>0</v>
      </c>
      <c r="F261" s="325">
        <f t="shared" si="20"/>
        <v>0</v>
      </c>
      <c r="L261" s="323">
        <f>IF(AND(PRRAS!D607&gt;0,PRRAS!D955=0),1,0)</f>
        <v>0</v>
      </c>
      <c r="M261" s="323">
        <f>IF(AND(PRRAS!E607&gt;0,PRRAS!E955=0),1,0)</f>
        <v>0</v>
      </c>
      <c r="U261" s="325">
        <v>42379</v>
      </c>
    </row>
    <row r="262" spans="1:21" ht="35.1" customHeight="1" x14ac:dyDescent="0.2">
      <c r="A262" s="313">
        <f t="shared" si="21"/>
        <v>256</v>
      </c>
      <c r="B262" s="314" t="str">
        <f t="shared" si="18"/>
        <v>O.K.</v>
      </c>
      <c r="C262" s="357" t="s">
        <v>1344</v>
      </c>
      <c r="E262" s="325">
        <v>0</v>
      </c>
      <c r="F262" s="325">
        <f t="shared" si="20"/>
        <v>0</v>
      </c>
      <c r="L262" s="323">
        <f>IF(AND(PRRAS!D608&gt;0,SUM(PRRAS!D956:D957)=0),1,0)</f>
        <v>0</v>
      </c>
      <c r="M262" s="323">
        <f>IF(AND(PRRAS!E608&gt;0,SUM(PRRAS!E956:E957)=0),1,0)</f>
        <v>0</v>
      </c>
      <c r="U262" s="325">
        <v>42434</v>
      </c>
    </row>
    <row r="263" spans="1:21" ht="50.1" customHeight="1" x14ac:dyDescent="0.2">
      <c r="A263" s="313">
        <f t="shared" si="21"/>
        <v>257</v>
      </c>
      <c r="B263" s="314" t="str">
        <f t="shared" si="18"/>
        <v>O.K.</v>
      </c>
      <c r="C263" s="357" t="s">
        <v>1345</v>
      </c>
      <c r="E263" s="325">
        <v>0</v>
      </c>
      <c r="F263" s="325">
        <f t="shared" si="20"/>
        <v>0</v>
      </c>
      <c r="L263" s="323">
        <f>IF(AND(PRRAS!D610&gt;0,PRRAS!D958=0),1,0)</f>
        <v>0</v>
      </c>
      <c r="M263" s="323">
        <f>IF(AND(PRRAS!E610&gt;0,PRRAS!E958=0),1,0)</f>
        <v>0</v>
      </c>
      <c r="U263" s="325">
        <v>42539</v>
      </c>
    </row>
    <row r="264" spans="1:21" ht="50.1" customHeight="1" x14ac:dyDescent="0.2">
      <c r="A264" s="313">
        <f t="shared" si="21"/>
        <v>258</v>
      </c>
      <c r="B264" s="314" t="str">
        <f t="shared" si="18"/>
        <v>O.K.</v>
      </c>
      <c r="C264" s="357" t="s">
        <v>41</v>
      </c>
      <c r="E264" s="325">
        <v>0</v>
      </c>
      <c r="F264" s="325">
        <f t="shared" si="20"/>
        <v>0</v>
      </c>
      <c r="L264" s="323">
        <f>IF(AND(PRRAS!D613&gt;0,PRRAS!D962=0),1,0)</f>
        <v>0</v>
      </c>
      <c r="M264" s="323">
        <f>IF(AND(PRRAS!E613&gt;0,PRRAS!E962=0),1,0)</f>
        <v>0</v>
      </c>
      <c r="U264" s="325">
        <v>42619</v>
      </c>
    </row>
    <row r="265" spans="1:21" ht="35.1" customHeight="1" x14ac:dyDescent="0.2">
      <c r="A265" s="313">
        <f t="shared" si="21"/>
        <v>259</v>
      </c>
      <c r="B265" s="314" t="str">
        <f t="shared" si="18"/>
        <v>O.K.</v>
      </c>
      <c r="C265" s="357" t="s">
        <v>1346</v>
      </c>
      <c r="E265" s="325">
        <v>0</v>
      </c>
      <c r="F265" s="325">
        <f t="shared" si="20"/>
        <v>0</v>
      </c>
      <c r="L265" s="323">
        <f>IF(AND(PRRAS!D614&gt;0,SUM(PRRAS!D963:D964)=0),1,0)</f>
        <v>0</v>
      </c>
      <c r="M265" s="323">
        <f>IF(AND(PRRAS!E614&gt;0,SUM(PRRAS!E963:E964)=0),1,0)</f>
        <v>0</v>
      </c>
      <c r="U265" s="325">
        <v>42750</v>
      </c>
    </row>
    <row r="266" spans="1:21" ht="50.1" customHeight="1" x14ac:dyDescent="0.2">
      <c r="A266" s="313">
        <f t="shared" si="21"/>
        <v>260</v>
      </c>
      <c r="B266" s="314" t="str">
        <f t="shared" si="18"/>
        <v>O.K.</v>
      </c>
      <c r="C266" s="357" t="s">
        <v>1350</v>
      </c>
      <c r="E266" s="325">
        <v>0</v>
      </c>
      <c r="F266" s="325">
        <f t="shared" si="20"/>
        <v>0</v>
      </c>
      <c r="L266" s="323">
        <f>IF(AND(PRRAS!D616&gt;0,PRRAS!D968=0),1,0)</f>
        <v>0</v>
      </c>
      <c r="M266" s="323">
        <f>IF(AND(PRRAS!E616&gt;0,PRRAS!E968=0),1,0)</f>
        <v>0</v>
      </c>
      <c r="U266" s="325">
        <v>42768</v>
      </c>
    </row>
    <row r="267" spans="1:21" ht="35.1" customHeight="1" x14ac:dyDescent="0.2">
      <c r="A267" s="313">
        <f t="shared" si="21"/>
        <v>261</v>
      </c>
      <c r="B267" s="314" t="str">
        <f t="shared" si="18"/>
        <v>O.K.</v>
      </c>
      <c r="C267" s="357" t="s">
        <v>356</v>
      </c>
      <c r="E267" s="325">
        <v>0</v>
      </c>
      <c r="F267" s="325">
        <f t="shared" si="20"/>
        <v>0</v>
      </c>
      <c r="L267" s="323">
        <f>IF(AND(PRRAS!D617&gt;0,SUM(PRRAS!D969:D970)=0),1,0)</f>
        <v>0</v>
      </c>
      <c r="M267" s="323">
        <f>IF(AND(PRRAS!E617&gt;0,SUM(PRRAS!E969:E970)=0),1,0)</f>
        <v>0</v>
      </c>
      <c r="U267" s="325">
        <v>43214</v>
      </c>
    </row>
    <row r="268" spans="1:21" ht="50.1" customHeight="1" x14ac:dyDescent="0.2">
      <c r="A268" s="313">
        <f t="shared" si="21"/>
        <v>262</v>
      </c>
      <c r="B268" s="314" t="str">
        <f t="shared" si="18"/>
        <v>O.K.</v>
      </c>
      <c r="C268" s="357" t="s">
        <v>1349</v>
      </c>
      <c r="E268" s="325">
        <v>0</v>
      </c>
      <c r="F268" s="325">
        <f t="shared" si="20"/>
        <v>0</v>
      </c>
      <c r="L268" s="323">
        <f>IF(AND(PRRAS!D619&gt;0,PRRAS!D971=0),1,0)</f>
        <v>0</v>
      </c>
      <c r="M268" s="323">
        <f>IF(AND(PRRAS!E619&gt;0,PRRAS!E971=0),1,0)</f>
        <v>0</v>
      </c>
      <c r="U268" s="325">
        <v>43564</v>
      </c>
    </row>
    <row r="269" spans="1:21" ht="35.1" customHeight="1" x14ac:dyDescent="0.2">
      <c r="A269" s="313">
        <f t="shared" si="21"/>
        <v>263</v>
      </c>
      <c r="B269" s="314" t="str">
        <f t="shared" si="18"/>
        <v>O.K.</v>
      </c>
      <c r="C269" s="357" t="s">
        <v>1348</v>
      </c>
      <c r="E269" s="325">
        <v>0</v>
      </c>
      <c r="F269" s="325">
        <f t="shared" si="20"/>
        <v>0</v>
      </c>
      <c r="L269" s="323">
        <f>IF(AND(PRRAS!D620&gt;0,PRRAS!D972=0),1,0)</f>
        <v>0</v>
      </c>
      <c r="M269" s="323">
        <f>IF(AND(PRRAS!E620&gt;0,PRRAS!E972=0),1,0)</f>
        <v>0</v>
      </c>
      <c r="U269" s="325">
        <v>46028</v>
      </c>
    </row>
    <row r="270" spans="1:21" ht="50.1" customHeight="1" x14ac:dyDescent="0.2">
      <c r="A270" s="313">
        <f t="shared" si="21"/>
        <v>264</v>
      </c>
      <c r="B270" s="314" t="str">
        <f t="shared" si="18"/>
        <v>O.K.</v>
      </c>
      <c r="C270" s="357" t="s">
        <v>1347</v>
      </c>
      <c r="E270" s="325">
        <v>0</v>
      </c>
      <c r="F270" s="325">
        <f t="shared" si="20"/>
        <v>0</v>
      </c>
      <c r="L270" s="323">
        <f>IF(AND(PRRAS!D621&gt;0,PRRAS!D973=0),1,0)</f>
        <v>0</v>
      </c>
      <c r="M270" s="323">
        <f>IF(AND(PRRAS!E621&gt;0,PRRAS!E973=0),1,0)</f>
        <v>0</v>
      </c>
      <c r="U270" s="325">
        <v>47334</v>
      </c>
    </row>
    <row r="271" spans="1:21" ht="50.1" customHeight="1" x14ac:dyDescent="0.2">
      <c r="A271" s="313">
        <f t="shared" si="21"/>
        <v>265</v>
      </c>
      <c r="B271" s="314" t="str">
        <f t="shared" si="18"/>
        <v>O.K.</v>
      </c>
      <c r="C271" s="357" t="s">
        <v>357</v>
      </c>
      <c r="E271" s="325">
        <v>0</v>
      </c>
      <c r="F271" s="325">
        <f t="shared" si="20"/>
        <v>0</v>
      </c>
      <c r="L271" s="323">
        <f>IF(AND(PRRAS!D639&gt;0,PRRAS!D988=0),1,0)</f>
        <v>0</v>
      </c>
      <c r="M271" s="323">
        <f>IF(AND(PRRAS!E639&gt;0,PRRAS!E988=0),1,0)</f>
        <v>0</v>
      </c>
      <c r="U271" s="325">
        <v>47852</v>
      </c>
    </row>
    <row r="272" spans="1:21" ht="50.1" customHeight="1" x14ac:dyDescent="0.2">
      <c r="A272" s="313">
        <f t="shared" si="21"/>
        <v>266</v>
      </c>
      <c r="B272" s="314" t="str">
        <f>IF(E272=1,"Pogreška",IF(F272=1,"Provjera","O.K."))</f>
        <v>O.K.</v>
      </c>
      <c r="C272" s="357" t="s">
        <v>358</v>
      </c>
      <c r="E272" s="325">
        <v>0</v>
      </c>
      <c r="F272" s="325">
        <f>MAX(L272:O272)</f>
        <v>0</v>
      </c>
      <c r="L272" s="323">
        <f>IF(AND($J$3="DA",MAX(PRRAS!D11:D653)&gt;0,MAX(PRRAS!D655:D657)=0),1,0)</f>
        <v>0</v>
      </c>
      <c r="M272" s="323">
        <f>IF(AND($J$3="DA",MAX(PRRAS!E11:E653)&gt;0,MAX(PRRAS!E655:E657)=0),1,0)</f>
        <v>0</v>
      </c>
      <c r="U272" s="325">
        <v>47932</v>
      </c>
    </row>
    <row r="273" spans="1:21" ht="65.099999999999994" customHeight="1" x14ac:dyDescent="0.2">
      <c r="A273" s="313">
        <f t="shared" si="21"/>
        <v>267</v>
      </c>
      <c r="B273" s="314" t="str">
        <f>IF(E273=1,"Pogreška",IF(F273=1,"Provjera","O.K."))</f>
        <v>O.K.</v>
      </c>
      <c r="C273" s="357" t="s">
        <v>40</v>
      </c>
      <c r="E273" s="325">
        <f>MAX(G273:K273)</f>
        <v>0</v>
      </c>
      <c r="F273" s="325">
        <f>MAX(L273:O273)</f>
        <v>0</v>
      </c>
      <c r="H273" s="324">
        <f>IF(OR(PRRAS!D298*PRRAS!D299&gt;0, PRRAS!D415*PRRAS!D416&gt;0,PRRAS!D643*PRRAS!D644&gt;0),1,0)</f>
        <v>0</v>
      </c>
      <c r="I273" s="324">
        <f>IF(OR(PRRAS!E298*PRRAS!E299&gt;0, PRRAS!E415*PRRAS!E416&gt;0,PRRAS!E643*PRRAS!E644&gt;0),1,0)</f>
        <v>0</v>
      </c>
      <c r="U273" s="325">
        <v>48226</v>
      </c>
    </row>
    <row r="274" spans="1:21" ht="84.95" customHeight="1" x14ac:dyDescent="0.2">
      <c r="A274" s="313">
        <f t="shared" si="21"/>
        <v>268</v>
      </c>
      <c r="B274" s="314" t="str">
        <f t="shared" si="18"/>
        <v>O.K.</v>
      </c>
      <c r="C274" s="357" t="s">
        <v>359</v>
      </c>
      <c r="E274" s="325">
        <f>MAX(G274:K274)</f>
        <v>0</v>
      </c>
      <c r="F274" s="325">
        <f t="shared" si="20"/>
        <v>0</v>
      </c>
      <c r="G274" s="324">
        <f>IF(AND(OR(MAX(PRRAS!D659:E659,PRRAS!D661:E661)&gt;10000,MAX(PRRAS!D660:E660,PRRAS!D662:E662)&gt;35000),$O$3&lt;&gt;174,$O$3&lt;&gt;713,$O$3&lt;&gt;1222, $O$3&lt;&gt;47107),1,0)</f>
        <v>0</v>
      </c>
      <c r="H274" s="324">
        <f>IF(MAX(PRRAS!D659:E662)&gt;100000,1,0)</f>
        <v>0</v>
      </c>
      <c r="L274" s="323">
        <f>IF(MAX(PRRAS!D659:E662)&gt;1000,1,0)</f>
        <v>0</v>
      </c>
      <c r="U274" s="325">
        <v>49585</v>
      </c>
    </row>
    <row r="275" spans="1:21" ht="20.100000000000001" customHeight="1" x14ac:dyDescent="0.2">
      <c r="A275" s="480" t="s">
        <v>2094</v>
      </c>
      <c r="B275" s="481"/>
      <c r="C275" s="482"/>
      <c r="E275" s="325">
        <f>SUM(E276:E293)</f>
        <v>0</v>
      </c>
      <c r="F275" s="325">
        <f>SUM(F276:F293)</f>
        <v>0</v>
      </c>
      <c r="U275" s="325">
        <v>50709</v>
      </c>
    </row>
    <row r="276" spans="1:21" ht="50.1" customHeight="1" x14ac:dyDescent="0.2">
      <c r="A276" s="313">
        <f>1+A274</f>
        <v>269</v>
      </c>
      <c r="B276" s="314" t="str">
        <f t="shared" ref="B276:B293" si="22">IF(E276=1,"Pogreška",IF(F276=1,"Provjera","O.K."))</f>
        <v>O.K.</v>
      </c>
      <c r="C276" s="317" t="s">
        <v>360</v>
      </c>
      <c r="E276" s="325">
        <f t="shared" ref="E276:E285" si="23">MAX(G276:K276)</f>
        <v>0</v>
      </c>
      <c r="F276" s="325">
        <f t="shared" ref="F276:F285" si="24">MAX(L276:O276)</f>
        <v>0</v>
      </c>
      <c r="G276" s="348">
        <f>IF(ABS(Bil!D12-Bil!D180)&gt;1,1,0)</f>
        <v>0</v>
      </c>
      <c r="H276" s="348">
        <f>IF(ABS(Bil!E12-Bil!E180)&gt;1,1,0)</f>
        <v>0</v>
      </c>
      <c r="I276" s="349"/>
      <c r="J276" s="349"/>
      <c r="K276" s="349"/>
      <c r="L276" s="349"/>
      <c r="M276" s="349"/>
      <c r="N276" s="349"/>
      <c r="O276" s="349"/>
      <c r="P276" s="349"/>
      <c r="Q276" s="349"/>
      <c r="U276" s="325">
        <v>50985</v>
      </c>
    </row>
    <row r="277" spans="1:21" ht="35.1" customHeight="1" x14ac:dyDescent="0.2">
      <c r="A277" s="313">
        <f t="shared" ref="A277:A282" si="25">1+A276</f>
        <v>270</v>
      </c>
      <c r="B277" s="314" t="str">
        <f>IF(E277=1,"Pogreška",IF(F277=1,"Provjera","O.K."))</f>
        <v>O.K.</v>
      </c>
      <c r="C277" s="317" t="s">
        <v>369</v>
      </c>
      <c r="E277" s="325">
        <f>MAX(G277:K277)</f>
        <v>0</v>
      </c>
      <c r="F277" s="325">
        <f>MAX(L277:O277)</f>
        <v>0</v>
      </c>
      <c r="G277" s="348">
        <f>IF(AND(OR($I$3=41,$I$3=42),AND($O$3&lt;&gt;23911,$O$3&lt;&gt;25843),OR(Bil!D167&lt;&gt;0,Bil!D291&lt;&gt;0)),1,0)</f>
        <v>0</v>
      </c>
      <c r="H277" s="348">
        <f>IF(AND(OR($I$3=41,$I$3=42),AND($O$3&lt;&gt;23911,$O$3&lt;&gt;25843),OR(Bil!E167&lt;&gt;0,Bil!E291&lt;&gt;0)),1,0)</f>
        <v>0</v>
      </c>
      <c r="I277" s="349"/>
      <c r="J277" s="349"/>
      <c r="K277" s="349"/>
      <c r="L277" s="349"/>
      <c r="M277" s="349"/>
      <c r="N277" s="349"/>
      <c r="O277" s="349"/>
      <c r="P277" s="349"/>
      <c r="Q277" s="349"/>
      <c r="U277" s="325">
        <v>51409</v>
      </c>
    </row>
    <row r="278" spans="1:21" ht="20.100000000000001" customHeight="1" x14ac:dyDescent="0.2">
      <c r="A278" s="313">
        <f t="shared" si="25"/>
        <v>271</v>
      </c>
      <c r="B278" s="314" t="str">
        <f>IF(E278=1,"Pogreška",IF(F278=1,"Provjera","O.K."))</f>
        <v>O.K.</v>
      </c>
      <c r="C278" s="317" t="s">
        <v>507</v>
      </c>
      <c r="E278" s="325">
        <f>MAX(G278:K278)</f>
        <v>0</v>
      </c>
      <c r="F278" s="325">
        <f>MAX(L278:O278)</f>
        <v>0</v>
      </c>
      <c r="G278" s="324">
        <f>IF(AND($I$3=23,MAX(Bil!D291:E291,Bil!D305:E305)&gt;0),1,0)</f>
        <v>0</v>
      </c>
      <c r="H278" s="324">
        <f>IF(AND($I$3=22,$Q$3="DA",MIN(Bil!D291:E291,Bil!D305:E305)&gt;0),1,0)</f>
        <v>0</v>
      </c>
      <c r="I278" s="349"/>
      <c r="J278" s="349"/>
      <c r="K278" s="349"/>
      <c r="L278" s="349"/>
      <c r="M278" s="349"/>
      <c r="N278" s="349"/>
      <c r="O278" s="349"/>
      <c r="P278" s="349"/>
      <c r="Q278" s="349"/>
    </row>
    <row r="279" spans="1:21" ht="20.100000000000001" customHeight="1" x14ac:dyDescent="0.2">
      <c r="A279" s="313">
        <f t="shared" si="25"/>
        <v>272</v>
      </c>
      <c r="B279" s="314" t="str">
        <f>IF(E279=1,"Pogreška",IF(F279=1,"Provjera","O.K."))</f>
        <v>O.K.</v>
      </c>
      <c r="C279" s="317" t="s">
        <v>2164</v>
      </c>
      <c r="E279" s="325">
        <f t="shared" si="23"/>
        <v>0</v>
      </c>
      <c r="F279" s="325">
        <f t="shared" si="24"/>
        <v>0</v>
      </c>
      <c r="G279" s="348">
        <f>IF(AND(Bil!D252&lt;&gt;0,Bil!D256&lt;&gt;0),1,0)</f>
        <v>0</v>
      </c>
      <c r="H279" s="348">
        <f>IF(AND(Bil!E252&lt;&gt;0,Bil!E256&lt;&gt;0),1,0)</f>
        <v>0</v>
      </c>
      <c r="I279" s="349"/>
      <c r="J279" s="349"/>
      <c r="K279" s="349"/>
      <c r="L279" s="349"/>
      <c r="M279" s="349"/>
      <c r="N279" s="349"/>
      <c r="O279" s="349"/>
      <c r="P279" s="349"/>
      <c r="Q279" s="349"/>
      <c r="U279" s="325">
        <v>99999</v>
      </c>
    </row>
    <row r="280" spans="1:21" ht="20.100000000000001" customHeight="1" x14ac:dyDescent="0.2">
      <c r="A280" s="313">
        <f t="shared" si="25"/>
        <v>273</v>
      </c>
      <c r="B280" s="314" t="str">
        <f t="shared" si="22"/>
        <v>O.K.</v>
      </c>
      <c r="C280" s="317" t="s">
        <v>370</v>
      </c>
      <c r="E280" s="325">
        <f t="shared" si="23"/>
        <v>0</v>
      </c>
      <c r="F280" s="325">
        <f t="shared" si="24"/>
        <v>0</v>
      </c>
      <c r="G280" s="348">
        <f>IF(AND(Bil!D253&lt;&gt;0,Bil!D257&lt;&gt;0),1,0)</f>
        <v>0</v>
      </c>
      <c r="H280" s="348">
        <f>IF(AND(Bil!E253&lt;&gt;0,Bil!E257&lt;&gt;0),1,0)</f>
        <v>0</v>
      </c>
      <c r="I280" s="349"/>
      <c r="J280" s="349"/>
      <c r="K280" s="349"/>
      <c r="L280" s="349"/>
      <c r="M280" s="349"/>
      <c r="N280" s="349"/>
      <c r="O280" s="349"/>
      <c r="P280" s="349"/>
      <c r="Q280" s="349"/>
    </row>
    <row r="281" spans="1:21" ht="20.100000000000001" customHeight="1" x14ac:dyDescent="0.2">
      <c r="A281" s="313">
        <f t="shared" si="25"/>
        <v>274</v>
      </c>
      <c r="B281" s="314" t="str">
        <f t="shared" si="22"/>
        <v>O.K.</v>
      </c>
      <c r="C281" s="317" t="s">
        <v>1457</v>
      </c>
      <c r="E281" s="325">
        <f t="shared" si="23"/>
        <v>0</v>
      </c>
      <c r="F281" s="325">
        <f t="shared" si="24"/>
        <v>0</v>
      </c>
      <c r="G281" s="348">
        <f>IF(AND(Bil!D254&lt;&gt;0,Bil!D258&lt;&gt;0),1,0)</f>
        <v>0</v>
      </c>
      <c r="H281" s="348">
        <f>IF(AND(Bil!E254&lt;&gt;0,Bil!E258&lt;&gt;0),1,0)</f>
        <v>0</v>
      </c>
      <c r="P281" s="349"/>
      <c r="Q281" s="349"/>
    </row>
    <row r="282" spans="1:21" ht="30" customHeight="1" x14ac:dyDescent="0.2">
      <c r="A282" s="313">
        <f t="shared" si="25"/>
        <v>275</v>
      </c>
      <c r="B282" s="314" t="str">
        <f t="shared" si="22"/>
        <v>O.K.</v>
      </c>
      <c r="C282" s="317" t="s">
        <v>31</v>
      </c>
      <c r="E282" s="325">
        <f t="shared" si="23"/>
        <v>0</v>
      </c>
      <c r="F282" s="325">
        <f t="shared" si="24"/>
        <v>0</v>
      </c>
      <c r="G282" s="324">
        <f>IF(MIN(Bil!D12:E241,Bil!D244:E249,Bil!D251:E327)&lt;0,1,0)</f>
        <v>0</v>
      </c>
    </row>
    <row r="283" spans="1:21" ht="30" customHeight="1" x14ac:dyDescent="0.2">
      <c r="A283" s="313">
        <f t="shared" ref="A283:A293" si="26">1+A282</f>
        <v>276</v>
      </c>
      <c r="B283" s="314" t="str">
        <f t="shared" si="22"/>
        <v>O.K.</v>
      </c>
      <c r="C283" s="356" t="s">
        <v>2709</v>
      </c>
      <c r="E283" s="325">
        <f t="shared" si="23"/>
        <v>0</v>
      </c>
      <c r="F283" s="325">
        <f t="shared" si="24"/>
        <v>0</v>
      </c>
      <c r="G283" s="324">
        <f>IF(SUM(Skriveni!H984:H1298)&lt;&gt;0,1,0)</f>
        <v>0</v>
      </c>
    </row>
    <row r="284" spans="1:21" ht="30" customHeight="1" x14ac:dyDescent="0.2">
      <c r="A284" s="313">
        <f t="shared" si="26"/>
        <v>277</v>
      </c>
      <c r="B284" s="314" t="str">
        <f t="shared" si="22"/>
        <v>O.K.</v>
      </c>
      <c r="C284" s="317" t="s">
        <v>372</v>
      </c>
      <c r="E284" s="325">
        <f t="shared" si="23"/>
        <v>0</v>
      </c>
      <c r="F284" s="325">
        <f t="shared" si="24"/>
        <v>0</v>
      </c>
      <c r="G284" s="324">
        <f>IF(ABS(Bil!D162-SUM(Bil!D279:D286))&gt;1,1,0)</f>
        <v>0</v>
      </c>
      <c r="H284" s="324">
        <f>IF(ABS(Bil!E162-SUM(Bil!E279:E286))&gt;1,1,0)</f>
        <v>0</v>
      </c>
    </row>
    <row r="285" spans="1:21" ht="30" customHeight="1" x14ac:dyDescent="0.2">
      <c r="A285" s="313">
        <f t="shared" si="26"/>
        <v>278</v>
      </c>
      <c r="B285" s="314" t="str">
        <f t="shared" si="22"/>
        <v>O.K.</v>
      </c>
      <c r="C285" s="317" t="s">
        <v>1465</v>
      </c>
      <c r="E285" s="325">
        <f t="shared" si="23"/>
        <v>0</v>
      </c>
      <c r="F285" s="325">
        <f t="shared" si="24"/>
        <v>0</v>
      </c>
      <c r="G285" s="324">
        <f>IF(SUM(Bil!D287:D290)&gt;Bil!D166,1,0)</f>
        <v>0</v>
      </c>
      <c r="H285" s="324">
        <f>IF(SUM(Bil!E287:E290)&gt;Bil!E166,1,0)</f>
        <v>0</v>
      </c>
    </row>
    <row r="286" spans="1:21" ht="30" customHeight="1" x14ac:dyDescent="0.2">
      <c r="A286" s="313">
        <f t="shared" si="26"/>
        <v>279</v>
      </c>
      <c r="B286" s="314" t="str">
        <f t="shared" si="22"/>
        <v>O.K.</v>
      </c>
      <c r="C286" s="317" t="s">
        <v>4109</v>
      </c>
      <c r="E286" s="325">
        <f>MAX(G286:K286)</f>
        <v>0</v>
      </c>
      <c r="F286" s="325">
        <f>MAX(L286:O286)</f>
        <v>0</v>
      </c>
      <c r="G286" s="324">
        <f>IF(Bil!D291&gt;Bil!D167,1,0)</f>
        <v>0</v>
      </c>
      <c r="H286" s="324">
        <f>IF(Bil!E291&gt;Bil!E167,1,0)</f>
        <v>0</v>
      </c>
    </row>
    <row r="287" spans="1:21" ht="20.100000000000001" customHeight="1" x14ac:dyDescent="0.2">
      <c r="A287" s="313">
        <f t="shared" si="26"/>
        <v>280</v>
      </c>
      <c r="B287" s="314" t="str">
        <f>IF(E287=1,"Pogreška",IF(F287=1,"Provjera","O.K."))</f>
        <v>O.K.</v>
      </c>
      <c r="C287" s="317" t="s">
        <v>1458</v>
      </c>
      <c r="E287" s="325">
        <f>MAX(G287:K287)</f>
        <v>0</v>
      </c>
      <c r="F287" s="325">
        <f>MAX(L287:O287)</f>
        <v>0</v>
      </c>
      <c r="G287" s="324">
        <f>IF(ABS(Bil!D93-Bil!D267-Bil!D268)&gt;1,1,0)</f>
        <v>0</v>
      </c>
      <c r="H287" s="324">
        <f>IF(ABS(Bil!E93-Bil!E267-Bil!E268)&gt;1,1,0)</f>
        <v>0</v>
      </c>
    </row>
    <row r="288" spans="1:21" ht="20.100000000000001" customHeight="1" x14ac:dyDescent="0.2">
      <c r="A288" s="313">
        <f t="shared" si="26"/>
        <v>281</v>
      </c>
      <c r="B288" s="314" t="str">
        <f t="shared" si="22"/>
        <v>O.K.</v>
      </c>
      <c r="C288" s="317" t="s">
        <v>1459</v>
      </c>
      <c r="E288" s="325">
        <f t="shared" ref="E288:E293" si="27">MAX(G288:K288)</f>
        <v>0</v>
      </c>
      <c r="F288" s="325">
        <f t="shared" ref="F288:F293" si="28">MAX(L288:O288)</f>
        <v>0</v>
      </c>
      <c r="G288" s="324">
        <f>IF(ABS(Bil!D152-Bil!D269-Bil!D270)&gt;1,1,0)</f>
        <v>0</v>
      </c>
      <c r="H288" s="324">
        <f>IF(ABS(Bil!E152-Bil!E269-Bil!E270)&gt;1,1,0)</f>
        <v>0</v>
      </c>
    </row>
    <row r="289" spans="1:17" ht="20.100000000000001" customHeight="1" x14ac:dyDescent="0.2">
      <c r="A289" s="313">
        <f t="shared" si="26"/>
        <v>282</v>
      </c>
      <c r="B289" s="314" t="str">
        <f t="shared" si="22"/>
        <v>O.K.</v>
      </c>
      <c r="C289" s="317" t="s">
        <v>1460</v>
      </c>
      <c r="E289" s="325">
        <f t="shared" si="27"/>
        <v>0</v>
      </c>
      <c r="F289" s="325">
        <f t="shared" si="28"/>
        <v>0</v>
      </c>
      <c r="G289" s="324">
        <f>IF(ABS(Bil!D170-Bil!D271-Bil!D272)&gt;1,1,0)</f>
        <v>0</v>
      </c>
      <c r="H289" s="324">
        <f>IF(ABS(Bil!E170-Bil!E271-Bil!E272)&gt;1,1,0)</f>
        <v>0</v>
      </c>
    </row>
    <row r="290" spans="1:17" ht="20.100000000000001" customHeight="1" x14ac:dyDescent="0.2">
      <c r="A290" s="313">
        <f t="shared" si="26"/>
        <v>283</v>
      </c>
      <c r="B290" s="314" t="str">
        <f t="shared" si="22"/>
        <v>O.K.</v>
      </c>
      <c r="C290" s="317" t="s">
        <v>1461</v>
      </c>
      <c r="E290" s="325">
        <f t="shared" si="27"/>
        <v>0</v>
      </c>
      <c r="F290" s="325">
        <f t="shared" si="28"/>
        <v>0</v>
      </c>
      <c r="G290" s="324">
        <f>IF(ABS(Bil!D182-Bil!D292-Bil!D293)&gt;1,1,0)</f>
        <v>0</v>
      </c>
      <c r="H290" s="324">
        <f>IF(ABS(Bil!E182-Bil!E292-Bil!E293)&gt;1,1,0)</f>
        <v>0</v>
      </c>
    </row>
    <row r="291" spans="1:17" ht="20.100000000000001" customHeight="1" x14ac:dyDescent="0.2">
      <c r="A291" s="313">
        <f t="shared" si="26"/>
        <v>284</v>
      </c>
      <c r="B291" s="314" t="str">
        <f t="shared" si="22"/>
        <v>O.K.</v>
      </c>
      <c r="C291" s="317" t="s">
        <v>1462</v>
      </c>
      <c r="E291" s="325">
        <f t="shared" si="27"/>
        <v>0</v>
      </c>
      <c r="F291" s="325">
        <f t="shared" si="28"/>
        <v>0</v>
      </c>
      <c r="G291" s="324">
        <f>IF(ABS(Bil!D194-Bil!D294-Bil!D295)&gt;1,1,0)</f>
        <v>0</v>
      </c>
      <c r="H291" s="324">
        <f>IF(ABS(Bil!E194-Bil!E294-Bil!E295)&gt;1,1,0)</f>
        <v>0</v>
      </c>
    </row>
    <row r="292" spans="1:17" ht="20.100000000000001" customHeight="1" x14ac:dyDescent="0.2">
      <c r="A292" s="313">
        <f t="shared" si="26"/>
        <v>285</v>
      </c>
      <c r="B292" s="314" t="str">
        <f t="shared" si="22"/>
        <v>O.K.</v>
      </c>
      <c r="C292" s="317" t="s">
        <v>1463</v>
      </c>
      <c r="E292" s="325">
        <f t="shared" si="27"/>
        <v>0</v>
      </c>
      <c r="F292" s="325">
        <f t="shared" si="28"/>
        <v>0</v>
      </c>
      <c r="G292" s="324">
        <f>IF(ABS(Bil!D195-Bil!D296-Bil!D297)&gt;1,1,0)</f>
        <v>0</v>
      </c>
      <c r="H292" s="324">
        <f>IF(ABS(Bil!E195-Bil!E296-Bil!E297)&gt;1,1,0)</f>
        <v>0</v>
      </c>
    </row>
    <row r="293" spans="1:17" ht="20.100000000000001" customHeight="1" x14ac:dyDescent="0.2">
      <c r="A293" s="313">
        <f t="shared" si="26"/>
        <v>286</v>
      </c>
      <c r="B293" s="314" t="str">
        <f t="shared" si="22"/>
        <v>O.K.</v>
      </c>
      <c r="C293" s="317" t="s">
        <v>1464</v>
      </c>
      <c r="E293" s="325">
        <f t="shared" si="27"/>
        <v>0</v>
      </c>
      <c r="F293" s="325">
        <f t="shared" si="28"/>
        <v>0</v>
      </c>
      <c r="G293" s="324">
        <f>IF(ABS(Bil!D211-Bil!D298-Bil!D299)&gt;1,1,0)</f>
        <v>0</v>
      </c>
      <c r="H293" s="324">
        <f>IF(ABS(Bil!E211-Bil!E298-Bil!E299)&gt;1,1,0)</f>
        <v>0</v>
      </c>
    </row>
    <row r="294" spans="1:17" ht="20.100000000000001" customHeight="1" x14ac:dyDescent="0.2">
      <c r="A294" s="480" t="s">
        <v>2095</v>
      </c>
      <c r="B294" s="481"/>
      <c r="C294" s="482"/>
      <c r="E294" s="325">
        <f>SUM(E295:E297)</f>
        <v>0</v>
      </c>
      <c r="F294" s="325">
        <f>SUM(F295:F297)</f>
        <v>0</v>
      </c>
    </row>
    <row r="295" spans="1:17" ht="30" customHeight="1" x14ac:dyDescent="0.2">
      <c r="A295" s="313">
        <f>A293+1</f>
        <v>287</v>
      </c>
      <c r="B295" s="314" t="str">
        <f>IF(E295=1,"Pogreška",IF(F295=1,"Provjera","O.K."))</f>
        <v>O.K.</v>
      </c>
      <c r="C295" s="356" t="s">
        <v>2709</v>
      </c>
      <c r="E295" s="325">
        <f>MAX(G295:K295)</f>
        <v>0</v>
      </c>
      <c r="F295" s="325">
        <f>MAX(L295:O295)</f>
        <v>0</v>
      </c>
      <c r="G295" s="348">
        <f>IF(SUM(Skriveni!H1480:H1580)=0,0,1)</f>
        <v>0</v>
      </c>
      <c r="H295" s="348"/>
      <c r="I295" s="349"/>
      <c r="J295" s="349"/>
      <c r="K295" s="349"/>
      <c r="L295" s="349"/>
      <c r="M295" s="349"/>
      <c r="N295" s="349"/>
      <c r="O295" s="349"/>
      <c r="P295" s="349"/>
      <c r="Q295" s="349"/>
    </row>
    <row r="296" spans="1:17" ht="30" customHeight="1" x14ac:dyDescent="0.2">
      <c r="A296" s="313">
        <f>A295+1</f>
        <v>288</v>
      </c>
      <c r="B296" s="314" t="str">
        <f>IF(E296=1,"Pogreška",IF(F296=1,"Provjera","O.K."))</f>
        <v>O.K.</v>
      </c>
      <c r="C296" s="317" t="s">
        <v>2564</v>
      </c>
      <c r="E296" s="325">
        <f>MAX(G296:K296)</f>
        <v>0</v>
      </c>
      <c r="F296" s="325">
        <f>MAX(L296:O296)</f>
        <v>0</v>
      </c>
      <c r="G296" s="348">
        <f>IF(MIN(Skriveni!C1480:C1580)&lt;0,1,0)</f>
        <v>0</v>
      </c>
      <c r="H296" s="348"/>
      <c r="I296" s="349"/>
      <c r="J296" s="349"/>
      <c r="K296" s="349"/>
      <c r="L296" s="349"/>
      <c r="M296" s="349"/>
      <c r="N296" s="349"/>
      <c r="O296" s="349"/>
      <c r="P296" s="349"/>
      <c r="Q296" s="349"/>
    </row>
    <row r="297" spans="1:17" ht="42" customHeight="1" x14ac:dyDescent="0.2">
      <c r="A297" s="313">
        <f>A296+1</f>
        <v>289</v>
      </c>
      <c r="B297" s="314" t="str">
        <f>IF(E297=1,"Pogreška",IF(F297=1,"Provjera","O.K."))</f>
        <v>O.K.</v>
      </c>
      <c r="C297" s="358" t="s">
        <v>1466</v>
      </c>
      <c r="E297" s="325">
        <f>MAX(G297:K297)</f>
        <v>0</v>
      </c>
      <c r="F297" s="325">
        <f>MAX(L297:O297)</f>
        <v>0</v>
      </c>
      <c r="G297" s="348">
        <f>IF(ABS(Obv!D49-Obv!D50-Obv!D108)&gt;1,1,0)</f>
        <v>0</v>
      </c>
      <c r="H297" s="348"/>
      <c r="I297" s="349"/>
      <c r="J297" s="349"/>
      <c r="K297" s="349"/>
      <c r="L297" s="349"/>
      <c r="M297" s="349"/>
      <c r="N297" s="349"/>
      <c r="O297" s="349"/>
      <c r="P297" s="349"/>
      <c r="Q297" s="349"/>
    </row>
    <row r="298" spans="1:17" ht="20.100000000000001" customHeight="1" x14ac:dyDescent="0.2">
      <c r="A298" s="480" t="s">
        <v>2093</v>
      </c>
      <c r="B298" s="481"/>
      <c r="C298" s="482"/>
      <c r="E298" s="325">
        <f>SUM(E299:E301)</f>
        <v>0</v>
      </c>
      <c r="F298" s="325">
        <f>SUM(F299:F301)</f>
        <v>0</v>
      </c>
    </row>
    <row r="299" spans="1:17" ht="30" customHeight="1" x14ac:dyDescent="0.2">
      <c r="A299" s="313">
        <f>A297+1</f>
        <v>290</v>
      </c>
      <c r="B299" s="314" t="str">
        <f>IF(E299=1,"Pogreška",IF(F299=1,"Provjera","O.K."))</f>
        <v>O.K.</v>
      </c>
      <c r="C299" s="317" t="s">
        <v>2709</v>
      </c>
      <c r="E299" s="325">
        <f>MAX(G299:K299)</f>
        <v>0</v>
      </c>
      <c r="F299" s="325">
        <f>MAX(L299:O299)</f>
        <v>0</v>
      </c>
      <c r="G299" s="348">
        <f>IF(SUM(Skriveni!H1436:H1479)=0,0,1)</f>
        <v>0</v>
      </c>
      <c r="H299" s="348"/>
      <c r="I299" s="349"/>
      <c r="J299" s="349"/>
      <c r="K299" s="349"/>
      <c r="L299" s="349"/>
      <c r="M299" s="349"/>
      <c r="N299" s="349"/>
      <c r="O299" s="349"/>
      <c r="P299" s="349"/>
      <c r="Q299" s="349"/>
    </row>
    <row r="300" spans="1:17" ht="30" customHeight="1" x14ac:dyDescent="0.2">
      <c r="A300" s="313">
        <f>A299+1</f>
        <v>291</v>
      </c>
      <c r="B300" s="314" t="str">
        <f>IF(E300=1,"Pogreška",IF(F300=1,"Provjera","O.K."))</f>
        <v>O.K.</v>
      </c>
      <c r="C300" s="317" t="s">
        <v>2564</v>
      </c>
      <c r="E300" s="325">
        <f>MAX(G300:K300)</f>
        <v>0</v>
      </c>
      <c r="F300" s="325">
        <f>MAX(L300:O300)</f>
        <v>0</v>
      </c>
      <c r="G300" s="348">
        <f>IF(MIN(Skriveni!H1436:H1479)&lt;0,1,0)</f>
        <v>0</v>
      </c>
      <c r="H300" s="348"/>
      <c r="I300" s="349"/>
      <c r="J300" s="349"/>
      <c r="K300" s="349"/>
      <c r="L300" s="349"/>
      <c r="M300" s="349"/>
      <c r="N300" s="349"/>
      <c r="O300" s="349"/>
      <c r="P300" s="349"/>
      <c r="Q300" s="349"/>
    </row>
    <row r="301" spans="1:17" ht="92.25" customHeight="1" x14ac:dyDescent="0.2">
      <c r="A301" s="313">
        <f>A300+1</f>
        <v>292</v>
      </c>
      <c r="B301" s="314" t="str">
        <f>IF(E301=1,"Pogreška",IF(F301=1,"Provjera","O.K."))</f>
        <v>O.K.</v>
      </c>
      <c r="C301" s="317" t="s">
        <v>371</v>
      </c>
      <c r="E301" s="325">
        <f>MAX(G301:K301)</f>
        <v>0</v>
      </c>
      <c r="F301" s="325">
        <f>MAX(L301:O301)</f>
        <v>0</v>
      </c>
      <c r="G301" s="348">
        <f>IF(AND(MAX(Skriveni!C1436:C1479)&gt;0,RefStr!B31&lt;&gt;"DA"),1,0)</f>
        <v>0</v>
      </c>
      <c r="H301" s="348"/>
      <c r="I301" s="349"/>
      <c r="J301" s="349"/>
      <c r="K301" s="349"/>
      <c r="L301" s="349">
        <f>IF(AND(H3=12,$L$3&lt;&gt;"DA"),1,0)</f>
        <v>0</v>
      </c>
      <c r="M301" s="349"/>
      <c r="N301" s="349"/>
      <c r="O301" s="349"/>
      <c r="P301" s="349"/>
      <c r="Q301" s="349"/>
    </row>
    <row r="302" spans="1:17" ht="20.100000000000001" customHeight="1" x14ac:dyDescent="0.2">
      <c r="A302" s="480" t="s">
        <v>3314</v>
      </c>
      <c r="B302" s="481"/>
      <c r="C302" s="482"/>
      <c r="E302" s="325">
        <f>SUM(E303:E304)</f>
        <v>0</v>
      </c>
      <c r="F302" s="325">
        <f>SUM(F303:F304)</f>
        <v>0</v>
      </c>
    </row>
    <row r="303" spans="1:17" ht="35.1" customHeight="1" x14ac:dyDescent="0.2">
      <c r="A303" s="313">
        <f>A301+1</f>
        <v>293</v>
      </c>
      <c r="B303" s="350" t="str">
        <f>IF(E303=1,"Pogreška",IF(F303=1,"Provjera","O.K."))</f>
        <v>O.K.</v>
      </c>
      <c r="C303" s="359" t="s">
        <v>2709</v>
      </c>
      <c r="E303" s="325">
        <f>MAX(G303:K303)</f>
        <v>0</v>
      </c>
      <c r="F303" s="325">
        <f>MAX(L303:O303)</f>
        <v>0</v>
      </c>
      <c r="G303" s="348">
        <f>IF(SUM(Skriveni!H1299:H1435)&lt;&gt;0,1,0)</f>
        <v>0</v>
      </c>
      <c r="H303" s="348"/>
      <c r="I303" s="349"/>
      <c r="J303" s="349"/>
      <c r="K303" s="349"/>
      <c r="L303" s="349"/>
      <c r="M303" s="349"/>
      <c r="N303" s="349"/>
      <c r="O303" s="349"/>
      <c r="P303" s="349"/>
      <c r="Q303" s="349"/>
    </row>
    <row r="304" spans="1:17" ht="35.1" customHeight="1" x14ac:dyDescent="0.2">
      <c r="A304" s="351">
        <f>A303+1</f>
        <v>294</v>
      </c>
      <c r="B304" s="352" t="str">
        <f>IF(E304=1,"Pogreška",IF(F304=1,"Provjera","O.K."))</f>
        <v>O.K.</v>
      </c>
      <c r="C304" s="360" t="s">
        <v>2564</v>
      </c>
      <c r="E304" s="325">
        <f>MAX(G304:K304)</f>
        <v>0</v>
      </c>
      <c r="F304" s="325">
        <f>MAX(L304:O304)</f>
        <v>0</v>
      </c>
      <c r="G304" s="348">
        <f>IF(MIN(Skriveni!C1299:D1435)&lt;0,1,0)</f>
        <v>0</v>
      </c>
      <c r="H304" s="348"/>
      <c r="I304" s="349"/>
      <c r="J304" s="349"/>
      <c r="K304" s="349"/>
      <c r="L304" s="349"/>
      <c r="M304" s="349"/>
      <c r="N304" s="349"/>
      <c r="O304" s="349"/>
      <c r="P304" s="349"/>
      <c r="Q304" s="349"/>
    </row>
    <row r="305" ht="5.25" customHeight="1" x14ac:dyDescent="0.2"/>
    <row r="306" x14ac:dyDescent="0.2"/>
    <row r="307" x14ac:dyDescent="0.2"/>
  </sheetData>
  <sheetProtection password="C79A" sheet="1" objects="1" scenarios="1"/>
  <mergeCells count="8">
    <mergeCell ref="A302:C302"/>
    <mergeCell ref="A275:C275"/>
    <mergeCell ref="A2:C2"/>
    <mergeCell ref="A4:C4"/>
    <mergeCell ref="A23:C23"/>
    <mergeCell ref="A18:C18"/>
    <mergeCell ref="A294:C294"/>
    <mergeCell ref="A298:C298"/>
  </mergeCells>
  <phoneticPr fontId="11" type="noConversion"/>
  <conditionalFormatting sqref="B303:B304">
    <cfRule type="cellIs" dxfId="3" priority="1" stopIfTrue="1" operator="equal">
      <formula>"O.K."</formula>
    </cfRule>
    <cfRule type="cellIs" dxfId="2" priority="2" stopIfTrue="1" operator="equal">
      <formula>"Provjera"</formula>
    </cfRule>
  </conditionalFormatting>
  <conditionalFormatting sqref="B299:B301 B295:B297 B24:B274 B5:B17 B19:B22 B276:B293">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4:C294" location="Obv!B4" tooltip="Povratak na obrazac Obveze" display="OBVEZE - obvezne kontrole"/>
    <hyperlink ref="A298:C298" location="PVRIO!B4" tooltip="Povratak na obrazac P-VRIO" display="P-VRIO - obvezne kontrole"/>
    <hyperlink ref="A2:C2" location="RefStr!B6" tooltip="Povratak na Referentnu stranicu" display="&lt;–––– Povratak na naslovnu"/>
    <hyperlink ref="A275:C275" location="Bil!A1" tooltip="Povratak na obrazac PR-RAS" display="BIL - obvezne kontrole"/>
    <hyperlink ref="A302:C302"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75:G276 L21:L277 E279:IV286 H23:H169 H172:H182 G186 M21:M277 G212:G273 E18:F274 H200:H276 H185:H195 G18 H18 I18:K277 G23:G165 L18 N18:IV277 M18 G21 H21 E275:F277 E287:K306 M287:IV306 L287:L300 L302:L306" formula="1"/>
    <ignoredError sqref="G185 G274 G169"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6" customWidth="1"/>
    <col min="2" max="2" width="25.7109375" style="126" customWidth="1"/>
    <col min="3" max="3" width="3.7109375" style="126" customWidth="1"/>
    <col min="4" max="4" width="8.7109375" style="126" customWidth="1"/>
    <col min="5" max="5" width="25.7109375" style="126" customWidth="1"/>
    <col min="6" max="6" width="3.7109375" style="126" customWidth="1"/>
    <col min="7" max="7" width="8.7109375" style="126" customWidth="1"/>
    <col min="8" max="8" width="25.7109375" style="126" customWidth="1"/>
    <col min="9" max="9" width="0.85546875" customWidth="1"/>
  </cols>
  <sheetData>
    <row r="1" spans="1:8" ht="18" customHeight="1" x14ac:dyDescent="0.2">
      <c r="A1" s="514" t="s">
        <v>781</v>
      </c>
      <c r="B1" s="514"/>
      <c r="C1" s="514"/>
      <c r="D1" s="514"/>
      <c r="E1" s="514"/>
      <c r="F1" s="514"/>
      <c r="G1" s="514"/>
      <c r="H1" s="514"/>
    </row>
    <row r="2" spans="1:8" ht="43.5" customHeight="1" x14ac:dyDescent="0.2">
      <c r="A2" s="515" t="s">
        <v>2561</v>
      </c>
      <c r="B2" s="516"/>
      <c r="C2" s="516"/>
      <c r="D2" s="516"/>
      <c r="E2" s="516"/>
      <c r="F2" s="516"/>
      <c r="G2" s="516"/>
      <c r="H2" s="517"/>
    </row>
    <row r="3" spans="1:8" ht="15" customHeight="1" x14ac:dyDescent="0.2">
      <c r="A3" s="127" t="s">
        <v>2981</v>
      </c>
      <c r="B3" s="518" t="s">
        <v>2982</v>
      </c>
      <c r="C3" s="519"/>
      <c r="D3" s="519"/>
      <c r="E3" s="519"/>
      <c r="F3" s="519"/>
      <c r="G3" s="519"/>
      <c r="H3" s="520"/>
    </row>
    <row r="4" spans="1:8" ht="15" customHeight="1" x14ac:dyDescent="0.2">
      <c r="A4" s="128">
        <v>11</v>
      </c>
      <c r="B4" s="521" t="s">
        <v>3901</v>
      </c>
      <c r="C4" s="522"/>
      <c r="D4" s="522"/>
      <c r="E4" s="522"/>
      <c r="F4" s="522"/>
      <c r="G4" s="522"/>
      <c r="H4" s="523"/>
    </row>
    <row r="5" spans="1:8" ht="15" customHeight="1" x14ac:dyDescent="0.2">
      <c r="A5" s="129">
        <v>12</v>
      </c>
      <c r="B5" s="511" t="s">
        <v>3902</v>
      </c>
      <c r="C5" s="512"/>
      <c r="D5" s="512"/>
      <c r="E5" s="512"/>
      <c r="F5" s="512"/>
      <c r="G5" s="512"/>
      <c r="H5" s="513"/>
    </row>
    <row r="6" spans="1:8" ht="15" customHeight="1" x14ac:dyDescent="0.2">
      <c r="A6" s="129">
        <v>21</v>
      </c>
      <c r="B6" s="511" t="s">
        <v>3903</v>
      </c>
      <c r="C6" s="512"/>
      <c r="D6" s="512"/>
      <c r="E6" s="512"/>
      <c r="F6" s="512"/>
      <c r="G6" s="512"/>
      <c r="H6" s="513"/>
    </row>
    <row r="7" spans="1:8" ht="15" customHeight="1" x14ac:dyDescent="0.2">
      <c r="A7" s="129">
        <v>22</v>
      </c>
      <c r="B7" s="511" t="s">
        <v>3904</v>
      </c>
      <c r="C7" s="512"/>
      <c r="D7" s="512"/>
      <c r="E7" s="512"/>
      <c r="F7" s="512"/>
      <c r="G7" s="512"/>
      <c r="H7" s="513"/>
    </row>
    <row r="8" spans="1:8" ht="15" customHeight="1" x14ac:dyDescent="0.2">
      <c r="A8" s="129">
        <v>23</v>
      </c>
      <c r="B8" s="511" t="s">
        <v>2980</v>
      </c>
      <c r="C8" s="512"/>
      <c r="D8" s="512"/>
      <c r="E8" s="512"/>
      <c r="F8" s="512"/>
      <c r="G8" s="512"/>
      <c r="H8" s="513"/>
    </row>
    <row r="9" spans="1:8" ht="27.75" customHeight="1" x14ac:dyDescent="0.2">
      <c r="A9" s="129">
        <v>31</v>
      </c>
      <c r="B9" s="511" t="s">
        <v>648</v>
      </c>
      <c r="C9" s="512"/>
      <c r="D9" s="512"/>
      <c r="E9" s="512"/>
      <c r="F9" s="512"/>
      <c r="G9" s="512"/>
      <c r="H9" s="513"/>
    </row>
    <row r="10" spans="1:8" ht="15" customHeight="1" x14ac:dyDescent="0.2">
      <c r="A10" s="129">
        <v>41</v>
      </c>
      <c r="B10" s="511" t="s">
        <v>3675</v>
      </c>
      <c r="C10" s="512"/>
      <c r="D10" s="512"/>
      <c r="E10" s="512"/>
      <c r="F10" s="512"/>
      <c r="G10" s="512"/>
      <c r="H10" s="513"/>
    </row>
    <row r="11" spans="1:8" ht="15" customHeight="1" x14ac:dyDescent="0.2">
      <c r="A11" s="130">
        <v>42</v>
      </c>
      <c r="B11" s="506" t="s">
        <v>3676</v>
      </c>
      <c r="C11" s="507"/>
      <c r="D11" s="507"/>
      <c r="E11" s="507"/>
      <c r="F11" s="507"/>
      <c r="G11" s="507"/>
      <c r="H11" s="508"/>
    </row>
    <row r="12" spans="1:8" x14ac:dyDescent="0.2">
      <c r="A12" s="131"/>
      <c r="B12" s="132"/>
      <c r="C12" s="133"/>
      <c r="D12" s="133"/>
      <c r="E12" s="133"/>
      <c r="F12" s="133"/>
      <c r="G12" s="133"/>
      <c r="H12" s="133"/>
    </row>
    <row r="13" spans="1:8" ht="45" customHeight="1" x14ac:dyDescent="0.2">
      <c r="A13" s="509" t="s">
        <v>2643</v>
      </c>
      <c r="B13" s="509"/>
      <c r="C13" s="509"/>
      <c r="D13" s="509"/>
      <c r="E13" s="509"/>
      <c r="F13" s="509"/>
      <c r="G13" s="509"/>
      <c r="H13" s="510"/>
    </row>
    <row r="14" spans="1:8" ht="15" customHeight="1" x14ac:dyDescent="0.2">
      <c r="A14" s="134" t="s">
        <v>1453</v>
      </c>
      <c r="B14" s="135" t="s">
        <v>2644</v>
      </c>
      <c r="D14" s="134" t="s">
        <v>1453</v>
      </c>
      <c r="E14" s="135" t="s">
        <v>2644</v>
      </c>
      <c r="G14" s="134" t="s">
        <v>1453</v>
      </c>
      <c r="H14" s="135" t="s">
        <v>2644</v>
      </c>
    </row>
    <row r="15" spans="1:8" ht="15" customHeight="1" x14ac:dyDescent="0.2">
      <c r="A15" s="136">
        <v>1</v>
      </c>
      <c r="B15" s="137" t="s">
        <v>2645</v>
      </c>
      <c r="D15" s="136">
        <v>185</v>
      </c>
      <c r="E15" s="137" t="s">
        <v>2646</v>
      </c>
      <c r="G15" s="136">
        <v>88</v>
      </c>
      <c r="H15" s="137" t="s">
        <v>2647</v>
      </c>
    </row>
    <row r="16" spans="1:8" ht="15" customHeight="1" x14ac:dyDescent="0.2">
      <c r="A16" s="138">
        <v>2</v>
      </c>
      <c r="B16" s="139" t="s">
        <v>2648</v>
      </c>
      <c r="D16" s="138">
        <v>186</v>
      </c>
      <c r="E16" s="139" t="s">
        <v>2649</v>
      </c>
      <c r="G16" s="138">
        <v>298</v>
      </c>
      <c r="H16" s="139" t="s">
        <v>2650</v>
      </c>
    </row>
    <row r="17" spans="1:8" ht="15" customHeight="1" x14ac:dyDescent="0.2">
      <c r="A17" s="138">
        <v>3</v>
      </c>
      <c r="B17" s="139" t="s">
        <v>2651</v>
      </c>
      <c r="D17" s="138">
        <v>187</v>
      </c>
      <c r="E17" s="139" t="s">
        <v>1030</v>
      </c>
      <c r="G17" s="138">
        <v>358</v>
      </c>
      <c r="H17" s="139" t="s">
        <v>1031</v>
      </c>
    </row>
    <row r="18" spans="1:8" ht="15" customHeight="1" x14ac:dyDescent="0.2">
      <c r="A18" s="138">
        <v>4</v>
      </c>
      <c r="B18" s="139" t="s">
        <v>1032</v>
      </c>
      <c r="D18" s="138">
        <v>189</v>
      </c>
      <c r="E18" s="139" t="s">
        <v>3382</v>
      </c>
      <c r="G18" s="138">
        <v>359</v>
      </c>
      <c r="H18" s="139" t="s">
        <v>3383</v>
      </c>
    </row>
    <row r="19" spans="1:8" ht="15" customHeight="1" x14ac:dyDescent="0.2">
      <c r="A19" s="138">
        <v>5</v>
      </c>
      <c r="B19" s="139" t="s">
        <v>3384</v>
      </c>
      <c r="D19" s="138">
        <v>190</v>
      </c>
      <c r="E19" s="139" t="s">
        <v>3385</v>
      </c>
      <c r="G19" s="138">
        <v>360</v>
      </c>
      <c r="H19" s="139" t="s">
        <v>2434</v>
      </c>
    </row>
    <row r="20" spans="1:8" ht="15" customHeight="1" x14ac:dyDescent="0.2">
      <c r="A20" s="138">
        <v>6</v>
      </c>
      <c r="B20" s="139" t="s">
        <v>3854</v>
      </c>
      <c r="D20" s="138">
        <v>192</v>
      </c>
      <c r="E20" s="139" t="s">
        <v>3855</v>
      </c>
      <c r="G20" s="138">
        <v>361</v>
      </c>
      <c r="H20" s="139" t="s">
        <v>3856</v>
      </c>
    </row>
    <row r="21" spans="1:8" ht="15" customHeight="1" x14ac:dyDescent="0.2">
      <c r="A21" s="138">
        <v>7</v>
      </c>
      <c r="B21" s="139" t="s">
        <v>3857</v>
      </c>
      <c r="D21" s="138">
        <v>193</v>
      </c>
      <c r="E21" s="139" t="s">
        <v>3858</v>
      </c>
      <c r="G21" s="138">
        <v>362</v>
      </c>
      <c r="H21" s="139" t="s">
        <v>3859</v>
      </c>
    </row>
    <row r="22" spans="1:8" ht="15" customHeight="1" x14ac:dyDescent="0.2">
      <c r="A22" s="138">
        <v>8</v>
      </c>
      <c r="B22" s="139" t="s">
        <v>3860</v>
      </c>
      <c r="D22" s="138">
        <v>194</v>
      </c>
      <c r="E22" s="139" t="s">
        <v>3861</v>
      </c>
      <c r="G22" s="138">
        <v>363</v>
      </c>
      <c r="H22" s="139" t="s">
        <v>3862</v>
      </c>
    </row>
    <row r="23" spans="1:8" ht="15" customHeight="1" x14ac:dyDescent="0.2">
      <c r="A23" s="138">
        <v>9</v>
      </c>
      <c r="B23" s="139" t="s">
        <v>3863</v>
      </c>
      <c r="D23" s="138">
        <v>195</v>
      </c>
      <c r="E23" s="139" t="s">
        <v>3864</v>
      </c>
      <c r="G23" s="138">
        <v>364</v>
      </c>
      <c r="H23" s="139" t="s">
        <v>2122</v>
      </c>
    </row>
    <row r="24" spans="1:8" ht="15" customHeight="1" x14ac:dyDescent="0.2">
      <c r="A24" s="138">
        <v>10</v>
      </c>
      <c r="B24" s="139" t="s">
        <v>2123</v>
      </c>
      <c r="D24" s="138">
        <v>196</v>
      </c>
      <c r="E24" s="139" t="s">
        <v>2124</v>
      </c>
      <c r="G24" s="138">
        <v>536</v>
      </c>
      <c r="H24" s="139" t="s">
        <v>2125</v>
      </c>
    </row>
    <row r="25" spans="1:8" ht="15" customHeight="1" x14ac:dyDescent="0.2">
      <c r="A25" s="138">
        <v>11</v>
      </c>
      <c r="B25" s="139" t="s">
        <v>2126</v>
      </c>
      <c r="D25" s="138">
        <v>622</v>
      </c>
      <c r="E25" s="139" t="s">
        <v>2127</v>
      </c>
      <c r="G25" s="138">
        <v>365</v>
      </c>
      <c r="H25" s="139" t="s">
        <v>2128</v>
      </c>
    </row>
    <row r="26" spans="1:8" ht="15" customHeight="1" x14ac:dyDescent="0.2">
      <c r="A26" s="138">
        <v>550</v>
      </c>
      <c r="B26" s="139" t="s">
        <v>2129</v>
      </c>
      <c r="D26" s="138">
        <v>197</v>
      </c>
      <c r="E26" s="139" t="s">
        <v>942</v>
      </c>
      <c r="G26" s="138">
        <v>366</v>
      </c>
      <c r="H26" s="139" t="s">
        <v>943</v>
      </c>
    </row>
    <row r="27" spans="1:8" ht="15" customHeight="1" x14ac:dyDescent="0.2">
      <c r="A27" s="138">
        <v>12</v>
      </c>
      <c r="B27" s="139" t="s">
        <v>944</v>
      </c>
      <c r="D27" s="138">
        <v>198</v>
      </c>
      <c r="E27" s="139" t="s">
        <v>945</v>
      </c>
      <c r="G27" s="138">
        <v>368</v>
      </c>
      <c r="H27" s="139" t="s">
        <v>946</v>
      </c>
    </row>
    <row r="28" spans="1:8" ht="15" customHeight="1" x14ac:dyDescent="0.2">
      <c r="A28" s="138">
        <v>13</v>
      </c>
      <c r="B28" s="139" t="s">
        <v>947</v>
      </c>
      <c r="D28" s="138">
        <v>199</v>
      </c>
      <c r="E28" s="139" t="s">
        <v>948</v>
      </c>
      <c r="G28" s="138">
        <v>369</v>
      </c>
      <c r="H28" s="139" t="s">
        <v>949</v>
      </c>
    </row>
    <row r="29" spans="1:8" ht="15" customHeight="1" x14ac:dyDescent="0.2">
      <c r="A29" s="138">
        <v>15</v>
      </c>
      <c r="B29" s="139" t="s">
        <v>950</v>
      </c>
      <c r="D29" s="138">
        <v>200</v>
      </c>
      <c r="E29" s="139" t="s">
        <v>951</v>
      </c>
      <c r="G29" s="138">
        <v>371</v>
      </c>
      <c r="H29" s="139" t="s">
        <v>994</v>
      </c>
    </row>
    <row r="30" spans="1:8" ht="15" customHeight="1" x14ac:dyDescent="0.2">
      <c r="A30" s="138">
        <v>16</v>
      </c>
      <c r="B30" s="139" t="s">
        <v>995</v>
      </c>
      <c r="D30" s="138">
        <v>201</v>
      </c>
      <c r="E30" s="139" t="s">
        <v>404</v>
      </c>
      <c r="G30" s="138">
        <v>372</v>
      </c>
      <c r="H30" s="139" t="s">
        <v>405</v>
      </c>
    </row>
    <row r="31" spans="1:8" ht="15" customHeight="1" x14ac:dyDescent="0.2">
      <c r="A31" s="138">
        <v>17</v>
      </c>
      <c r="B31" s="139" t="s">
        <v>406</v>
      </c>
      <c r="D31" s="138">
        <v>202</v>
      </c>
      <c r="E31" s="139" t="s">
        <v>407</v>
      </c>
      <c r="G31" s="138">
        <v>556</v>
      </c>
      <c r="H31" s="139" t="s">
        <v>408</v>
      </c>
    </row>
    <row r="32" spans="1:8" ht="15" customHeight="1" x14ac:dyDescent="0.2">
      <c r="A32" s="138">
        <v>18</v>
      </c>
      <c r="B32" s="139" t="s">
        <v>409</v>
      </c>
      <c r="D32" s="138">
        <v>203</v>
      </c>
      <c r="E32" s="139" t="s">
        <v>410</v>
      </c>
      <c r="G32" s="138">
        <v>373</v>
      </c>
      <c r="H32" s="139" t="s">
        <v>411</v>
      </c>
    </row>
    <row r="33" spans="1:8" ht="15" customHeight="1" x14ac:dyDescent="0.2">
      <c r="A33" s="138">
        <v>19</v>
      </c>
      <c r="B33" s="139" t="s">
        <v>412</v>
      </c>
      <c r="D33" s="138">
        <v>204</v>
      </c>
      <c r="E33" s="139" t="s">
        <v>413</v>
      </c>
      <c r="G33" s="138">
        <v>582</v>
      </c>
      <c r="H33" s="139" t="s">
        <v>414</v>
      </c>
    </row>
    <row r="34" spans="1:8" ht="15" customHeight="1" x14ac:dyDescent="0.2">
      <c r="A34" s="138">
        <v>20</v>
      </c>
      <c r="B34" s="139" t="s">
        <v>415</v>
      </c>
      <c r="D34" s="138">
        <v>538</v>
      </c>
      <c r="E34" s="139" t="s">
        <v>416</v>
      </c>
      <c r="G34" s="138">
        <v>374</v>
      </c>
      <c r="H34" s="139" t="s">
        <v>417</v>
      </c>
    </row>
    <row r="35" spans="1:8" ht="15" customHeight="1" x14ac:dyDescent="0.2">
      <c r="A35" s="138">
        <v>621</v>
      </c>
      <c r="B35" s="139" t="s">
        <v>418</v>
      </c>
      <c r="D35" s="138">
        <v>205</v>
      </c>
      <c r="E35" s="139" t="s">
        <v>419</v>
      </c>
      <c r="G35" s="138">
        <v>375</v>
      </c>
      <c r="H35" s="139" t="s">
        <v>420</v>
      </c>
    </row>
    <row r="36" spans="1:8" ht="15" customHeight="1" x14ac:dyDescent="0.2">
      <c r="A36" s="138">
        <v>21</v>
      </c>
      <c r="B36" s="139" t="s">
        <v>421</v>
      </c>
      <c r="D36" s="138">
        <v>206</v>
      </c>
      <c r="E36" s="139" t="s">
        <v>243</v>
      </c>
      <c r="G36" s="138">
        <v>376</v>
      </c>
      <c r="H36" s="139" t="s">
        <v>2168</v>
      </c>
    </row>
    <row r="37" spans="1:8" ht="15" customHeight="1" x14ac:dyDescent="0.2">
      <c r="A37" s="138">
        <v>22</v>
      </c>
      <c r="B37" s="139" t="s">
        <v>2169</v>
      </c>
      <c r="D37" s="138">
        <v>208</v>
      </c>
      <c r="E37" s="139" t="s">
        <v>2170</v>
      </c>
      <c r="G37" s="138">
        <v>591</v>
      </c>
      <c r="H37" s="139" t="s">
        <v>2171</v>
      </c>
    </row>
    <row r="38" spans="1:8" ht="15" customHeight="1" x14ac:dyDescent="0.2">
      <c r="A38" s="138">
        <v>310</v>
      </c>
      <c r="B38" s="139" t="s">
        <v>2172</v>
      </c>
      <c r="D38" s="138">
        <v>209</v>
      </c>
      <c r="E38" s="139" t="s">
        <v>2173</v>
      </c>
      <c r="G38" s="138">
        <v>377</v>
      </c>
      <c r="H38" s="139" t="s">
        <v>2174</v>
      </c>
    </row>
    <row r="39" spans="1:8" ht="15" customHeight="1" x14ac:dyDescent="0.2">
      <c r="A39" s="138">
        <v>547</v>
      </c>
      <c r="B39" s="139" t="s">
        <v>2175</v>
      </c>
      <c r="D39" s="138">
        <v>211</v>
      </c>
      <c r="E39" s="139" t="s">
        <v>2176</v>
      </c>
      <c r="G39" s="138">
        <v>378</v>
      </c>
      <c r="H39" s="139" t="s">
        <v>2177</v>
      </c>
    </row>
    <row r="40" spans="1:8" ht="15" customHeight="1" x14ac:dyDescent="0.2">
      <c r="A40" s="138">
        <v>23</v>
      </c>
      <c r="B40" s="139" t="s">
        <v>2178</v>
      </c>
      <c r="D40" s="138">
        <v>212</v>
      </c>
      <c r="E40" s="139" t="s">
        <v>2179</v>
      </c>
      <c r="G40" s="138">
        <v>379</v>
      </c>
      <c r="H40" s="139" t="s">
        <v>2180</v>
      </c>
    </row>
    <row r="41" spans="1:8" ht="15" customHeight="1" x14ac:dyDescent="0.2">
      <c r="A41" s="138">
        <v>24</v>
      </c>
      <c r="B41" s="139" t="s">
        <v>2181</v>
      </c>
      <c r="D41" s="138">
        <v>533</v>
      </c>
      <c r="E41" s="139" t="s">
        <v>2182</v>
      </c>
      <c r="G41" s="138">
        <v>380</v>
      </c>
      <c r="H41" s="139" t="s">
        <v>2183</v>
      </c>
    </row>
    <row r="42" spans="1:8" ht="15" customHeight="1" x14ac:dyDescent="0.2">
      <c r="A42" s="138">
        <v>25</v>
      </c>
      <c r="B42" s="139" t="s">
        <v>2184</v>
      </c>
      <c r="D42" s="138">
        <v>545</v>
      </c>
      <c r="E42" s="139" t="s">
        <v>2185</v>
      </c>
      <c r="G42" s="138">
        <v>381</v>
      </c>
      <c r="H42" s="139" t="s">
        <v>2186</v>
      </c>
    </row>
    <row r="43" spans="1:8" ht="15" customHeight="1" x14ac:dyDescent="0.2">
      <c r="A43" s="138">
        <v>26</v>
      </c>
      <c r="B43" s="139" t="s">
        <v>641</v>
      </c>
      <c r="D43" s="138">
        <v>213</v>
      </c>
      <c r="E43" s="139" t="s">
        <v>642</v>
      </c>
      <c r="G43" s="138">
        <v>382</v>
      </c>
      <c r="H43" s="139" t="s">
        <v>643</v>
      </c>
    </row>
    <row r="44" spans="1:8" ht="15" customHeight="1" x14ac:dyDescent="0.2">
      <c r="A44" s="138">
        <v>27</v>
      </c>
      <c r="B44" s="139" t="s">
        <v>644</v>
      </c>
      <c r="D44" s="138">
        <v>214</v>
      </c>
      <c r="E44" s="139" t="s">
        <v>645</v>
      </c>
      <c r="G44" s="138">
        <v>383</v>
      </c>
      <c r="H44" s="139" t="s">
        <v>646</v>
      </c>
    </row>
    <row r="45" spans="1:8" ht="15" customHeight="1" x14ac:dyDescent="0.2">
      <c r="A45" s="138">
        <v>29</v>
      </c>
      <c r="B45" s="139" t="s">
        <v>647</v>
      </c>
      <c r="D45" s="138">
        <v>215</v>
      </c>
      <c r="E45" s="139" t="s">
        <v>3948</v>
      </c>
      <c r="G45" s="138">
        <v>385</v>
      </c>
      <c r="H45" s="139" t="s">
        <v>3949</v>
      </c>
    </row>
    <row r="46" spans="1:8" ht="15" customHeight="1" x14ac:dyDescent="0.2">
      <c r="A46" s="138">
        <v>30</v>
      </c>
      <c r="B46" s="139" t="s">
        <v>3950</v>
      </c>
      <c r="D46" s="138">
        <v>216</v>
      </c>
      <c r="E46" s="139" t="s">
        <v>3951</v>
      </c>
      <c r="G46" s="138">
        <v>386</v>
      </c>
      <c r="H46" s="139" t="s">
        <v>3952</v>
      </c>
    </row>
    <row r="47" spans="1:8" ht="15" customHeight="1" x14ac:dyDescent="0.2">
      <c r="A47" s="138">
        <v>32</v>
      </c>
      <c r="B47" s="139" t="s">
        <v>1555</v>
      </c>
      <c r="D47" s="138">
        <v>217</v>
      </c>
      <c r="E47" s="139" t="s">
        <v>1556</v>
      </c>
      <c r="G47" s="138">
        <v>387</v>
      </c>
      <c r="H47" s="139" t="s">
        <v>1557</v>
      </c>
    </row>
    <row r="48" spans="1:8" ht="15" customHeight="1" x14ac:dyDescent="0.2">
      <c r="A48" s="138">
        <v>33</v>
      </c>
      <c r="B48" s="139" t="s">
        <v>1558</v>
      </c>
      <c r="D48" s="138">
        <v>572</v>
      </c>
      <c r="E48" s="139" t="s">
        <v>1559</v>
      </c>
      <c r="G48" s="138">
        <v>562</v>
      </c>
      <c r="H48" s="139" t="s">
        <v>1560</v>
      </c>
    </row>
    <row r="49" spans="1:8" ht="15" customHeight="1" x14ac:dyDescent="0.2">
      <c r="A49" s="138">
        <v>34</v>
      </c>
      <c r="B49" s="139" t="s">
        <v>1561</v>
      </c>
      <c r="D49" s="138">
        <v>219</v>
      </c>
      <c r="E49" s="139" t="s">
        <v>1562</v>
      </c>
      <c r="G49" s="138">
        <v>388</v>
      </c>
      <c r="H49" s="139" t="s">
        <v>1563</v>
      </c>
    </row>
    <row r="50" spans="1:8" ht="15" customHeight="1" x14ac:dyDescent="0.2">
      <c r="A50" s="138">
        <v>77</v>
      </c>
      <c r="B50" s="139" t="s">
        <v>1564</v>
      </c>
      <c r="D50" s="138">
        <v>553</v>
      </c>
      <c r="E50" s="139" t="s">
        <v>3942</v>
      </c>
      <c r="G50" s="138">
        <v>570</v>
      </c>
      <c r="H50" s="139" t="s">
        <v>3943</v>
      </c>
    </row>
    <row r="51" spans="1:8" ht="15" customHeight="1" x14ac:dyDescent="0.2">
      <c r="A51" s="138">
        <v>35</v>
      </c>
      <c r="B51" s="139" t="s">
        <v>3944</v>
      </c>
      <c r="D51" s="138">
        <v>220</v>
      </c>
      <c r="E51" s="139" t="s">
        <v>3945</v>
      </c>
      <c r="G51" s="138">
        <v>389</v>
      </c>
      <c r="H51" s="139" t="s">
        <v>3946</v>
      </c>
    </row>
    <row r="52" spans="1:8" ht="15" customHeight="1" x14ac:dyDescent="0.2">
      <c r="A52" s="138">
        <v>36</v>
      </c>
      <c r="B52" s="139" t="s">
        <v>3947</v>
      </c>
      <c r="D52" s="138">
        <v>221</v>
      </c>
      <c r="E52" s="139" t="s">
        <v>389</v>
      </c>
      <c r="G52" s="138">
        <v>390</v>
      </c>
      <c r="H52" s="139" t="s">
        <v>390</v>
      </c>
    </row>
    <row r="53" spans="1:8" ht="15" customHeight="1" x14ac:dyDescent="0.2">
      <c r="A53" s="138">
        <v>151</v>
      </c>
      <c r="B53" s="139" t="s">
        <v>391</v>
      </c>
      <c r="D53" s="138">
        <v>222</v>
      </c>
      <c r="E53" s="139" t="s">
        <v>392</v>
      </c>
      <c r="G53" s="138">
        <v>391</v>
      </c>
      <c r="H53" s="139" t="s">
        <v>393</v>
      </c>
    </row>
    <row r="54" spans="1:8" ht="15" customHeight="1" x14ac:dyDescent="0.2">
      <c r="A54" s="138">
        <v>37</v>
      </c>
      <c r="B54" s="139" t="s">
        <v>394</v>
      </c>
      <c r="D54" s="138">
        <v>223</v>
      </c>
      <c r="E54" s="139" t="s">
        <v>395</v>
      </c>
      <c r="G54" s="138">
        <v>393</v>
      </c>
      <c r="H54" s="139" t="s">
        <v>1484</v>
      </c>
    </row>
    <row r="55" spans="1:8" ht="15" customHeight="1" x14ac:dyDescent="0.2">
      <c r="A55" s="138">
        <v>38</v>
      </c>
      <c r="B55" s="139" t="s">
        <v>1485</v>
      </c>
      <c r="D55" s="138">
        <v>225</v>
      </c>
      <c r="E55" s="139" t="s">
        <v>1486</v>
      </c>
      <c r="G55" s="138">
        <v>394</v>
      </c>
      <c r="H55" s="139" t="s">
        <v>1487</v>
      </c>
    </row>
    <row r="56" spans="1:8" ht="15" customHeight="1" x14ac:dyDescent="0.2">
      <c r="A56" s="138">
        <v>39</v>
      </c>
      <c r="B56" s="139" t="s">
        <v>1488</v>
      </c>
      <c r="D56" s="138">
        <v>226</v>
      </c>
      <c r="E56" s="139" t="s">
        <v>1489</v>
      </c>
      <c r="G56" s="138">
        <v>395</v>
      </c>
      <c r="H56" s="139" t="s">
        <v>1490</v>
      </c>
    </row>
    <row r="57" spans="1:8" ht="15" customHeight="1" x14ac:dyDescent="0.2">
      <c r="A57" s="138">
        <v>40</v>
      </c>
      <c r="B57" s="139" t="s">
        <v>1491</v>
      </c>
      <c r="D57" s="138">
        <v>586</v>
      </c>
      <c r="E57" s="139" t="s">
        <v>1492</v>
      </c>
      <c r="G57" s="138">
        <v>396</v>
      </c>
      <c r="H57" s="139" t="s">
        <v>1123</v>
      </c>
    </row>
    <row r="58" spans="1:8" ht="15" customHeight="1" x14ac:dyDescent="0.2">
      <c r="A58" s="138">
        <v>41</v>
      </c>
      <c r="B58" s="139" t="s">
        <v>1124</v>
      </c>
      <c r="D58" s="138">
        <v>227</v>
      </c>
      <c r="E58" s="139" t="s">
        <v>1125</v>
      </c>
      <c r="G58" s="138">
        <v>397</v>
      </c>
      <c r="H58" s="139" t="s">
        <v>1126</v>
      </c>
    </row>
    <row r="59" spans="1:8" ht="15" customHeight="1" x14ac:dyDescent="0.2">
      <c r="A59" s="138">
        <v>42</v>
      </c>
      <c r="B59" s="139" t="s">
        <v>1127</v>
      </c>
      <c r="D59" s="138">
        <v>228</v>
      </c>
      <c r="E59" s="139" t="s">
        <v>1128</v>
      </c>
      <c r="G59" s="138">
        <v>399</v>
      </c>
      <c r="H59" s="139" t="s">
        <v>1129</v>
      </c>
    </row>
    <row r="60" spans="1:8" ht="15" customHeight="1" x14ac:dyDescent="0.2">
      <c r="A60" s="138">
        <v>567</v>
      </c>
      <c r="B60" s="139" t="s">
        <v>1130</v>
      </c>
      <c r="D60" s="138">
        <v>229</v>
      </c>
      <c r="E60" s="139" t="s">
        <v>1131</v>
      </c>
      <c r="G60" s="138">
        <v>400</v>
      </c>
      <c r="H60" s="139" t="s">
        <v>1132</v>
      </c>
    </row>
    <row r="61" spans="1:8" ht="15" customHeight="1" x14ac:dyDescent="0.2">
      <c r="A61" s="138">
        <v>43</v>
      </c>
      <c r="B61" s="139" t="s">
        <v>1133</v>
      </c>
      <c r="D61" s="138">
        <v>230</v>
      </c>
      <c r="E61" s="139" t="s">
        <v>1134</v>
      </c>
      <c r="G61" s="138">
        <v>402</v>
      </c>
      <c r="H61" s="139" t="s">
        <v>1135</v>
      </c>
    </row>
    <row r="62" spans="1:8" ht="15" customHeight="1" x14ac:dyDescent="0.2">
      <c r="A62" s="138">
        <v>44</v>
      </c>
      <c r="B62" s="139" t="s">
        <v>1136</v>
      </c>
      <c r="D62" s="138">
        <v>231</v>
      </c>
      <c r="E62" s="139" t="s">
        <v>2329</v>
      </c>
      <c r="G62" s="138">
        <v>405</v>
      </c>
      <c r="H62" s="139" t="s">
        <v>2330</v>
      </c>
    </row>
    <row r="63" spans="1:8" ht="15" customHeight="1" x14ac:dyDescent="0.2">
      <c r="A63" s="138">
        <v>46</v>
      </c>
      <c r="B63" s="139" t="s">
        <v>3277</v>
      </c>
      <c r="D63" s="138">
        <v>232</v>
      </c>
      <c r="E63" s="139" t="s">
        <v>3278</v>
      </c>
      <c r="G63" s="138">
        <v>406</v>
      </c>
      <c r="H63" s="139" t="s">
        <v>3279</v>
      </c>
    </row>
    <row r="64" spans="1:8" ht="15" customHeight="1" x14ac:dyDescent="0.2">
      <c r="A64" s="138">
        <v>47</v>
      </c>
      <c r="B64" s="139" t="s">
        <v>3280</v>
      </c>
      <c r="D64" s="138">
        <v>234</v>
      </c>
      <c r="E64" s="139" t="s">
        <v>3281</v>
      </c>
      <c r="G64" s="138">
        <v>407</v>
      </c>
      <c r="H64" s="139" t="s">
        <v>3282</v>
      </c>
    </row>
    <row r="65" spans="1:8" ht="15" customHeight="1" x14ac:dyDescent="0.2">
      <c r="A65" s="138">
        <v>48</v>
      </c>
      <c r="B65" s="139" t="s">
        <v>3283</v>
      </c>
      <c r="D65" s="138">
        <v>235</v>
      </c>
      <c r="E65" s="139" t="s">
        <v>3284</v>
      </c>
      <c r="G65" s="138">
        <v>409</v>
      </c>
      <c r="H65" s="139" t="s">
        <v>3285</v>
      </c>
    </row>
    <row r="66" spans="1:8" ht="15" customHeight="1" x14ac:dyDescent="0.2">
      <c r="A66" s="138">
        <v>49</v>
      </c>
      <c r="B66" s="139" t="s">
        <v>3286</v>
      </c>
      <c r="D66" s="138">
        <v>236</v>
      </c>
      <c r="E66" s="139" t="s">
        <v>3287</v>
      </c>
      <c r="G66" s="138">
        <v>410</v>
      </c>
      <c r="H66" s="139" t="s">
        <v>3288</v>
      </c>
    </row>
    <row r="67" spans="1:8" ht="15" customHeight="1" x14ac:dyDescent="0.2">
      <c r="A67" s="138">
        <v>50</v>
      </c>
      <c r="B67" s="139" t="s">
        <v>3289</v>
      </c>
      <c r="D67" s="138">
        <v>237</v>
      </c>
      <c r="E67" s="139" t="s">
        <v>3290</v>
      </c>
      <c r="G67" s="138">
        <v>411</v>
      </c>
      <c r="H67" s="139" t="s">
        <v>3291</v>
      </c>
    </row>
    <row r="68" spans="1:8" ht="15" customHeight="1" x14ac:dyDescent="0.2">
      <c r="A68" s="138">
        <v>51</v>
      </c>
      <c r="B68" s="139" t="s">
        <v>3292</v>
      </c>
      <c r="D68" s="138">
        <v>587</v>
      </c>
      <c r="E68" s="139" t="s">
        <v>3293</v>
      </c>
      <c r="G68" s="138">
        <v>412</v>
      </c>
      <c r="H68" s="139" t="s">
        <v>3294</v>
      </c>
    </row>
    <row r="69" spans="1:8" ht="15" customHeight="1" x14ac:dyDescent="0.2">
      <c r="A69" s="138">
        <v>52</v>
      </c>
      <c r="B69" s="139" t="s">
        <v>3295</v>
      </c>
      <c r="D69" s="138">
        <v>624</v>
      </c>
      <c r="E69" s="139" t="s">
        <v>3296</v>
      </c>
      <c r="G69" s="138">
        <v>413</v>
      </c>
      <c r="H69" s="139" t="s">
        <v>3297</v>
      </c>
    </row>
    <row r="70" spans="1:8" ht="15" customHeight="1" x14ac:dyDescent="0.2">
      <c r="A70" s="138">
        <v>53</v>
      </c>
      <c r="B70" s="139" t="s">
        <v>3298</v>
      </c>
      <c r="D70" s="138">
        <v>239</v>
      </c>
      <c r="E70" s="139" t="s">
        <v>3299</v>
      </c>
      <c r="G70" s="138">
        <v>414</v>
      </c>
      <c r="H70" s="139" t="s">
        <v>3300</v>
      </c>
    </row>
    <row r="71" spans="1:8" ht="15" customHeight="1" x14ac:dyDescent="0.2">
      <c r="A71" s="138">
        <v>54</v>
      </c>
      <c r="B71" s="139" t="s">
        <v>3301</v>
      </c>
      <c r="D71" s="138">
        <v>240</v>
      </c>
      <c r="E71" s="139" t="s">
        <v>3302</v>
      </c>
      <c r="G71" s="138">
        <v>415</v>
      </c>
      <c r="H71" s="139" t="s">
        <v>3303</v>
      </c>
    </row>
    <row r="72" spans="1:8" ht="15" customHeight="1" x14ac:dyDescent="0.2">
      <c r="A72" s="138">
        <v>55</v>
      </c>
      <c r="B72" s="139" t="s">
        <v>3304</v>
      </c>
      <c r="D72" s="138">
        <v>242</v>
      </c>
      <c r="E72" s="139" t="s">
        <v>3305</v>
      </c>
      <c r="G72" s="138">
        <v>416</v>
      </c>
      <c r="H72" s="139" t="s">
        <v>3306</v>
      </c>
    </row>
    <row r="73" spans="1:8" ht="15" customHeight="1" x14ac:dyDescent="0.2">
      <c r="A73" s="138">
        <v>56</v>
      </c>
      <c r="B73" s="139" t="s">
        <v>3307</v>
      </c>
      <c r="D73" s="138">
        <v>243</v>
      </c>
      <c r="E73" s="139" t="s">
        <v>3308</v>
      </c>
      <c r="G73" s="138">
        <v>418</v>
      </c>
      <c r="H73" s="139" t="s">
        <v>1885</v>
      </c>
    </row>
    <row r="74" spans="1:8" ht="15" customHeight="1" x14ac:dyDescent="0.2">
      <c r="A74" s="138">
        <v>57</v>
      </c>
      <c r="B74" s="139" t="s">
        <v>1886</v>
      </c>
      <c r="D74" s="138">
        <v>244</v>
      </c>
      <c r="E74" s="139" t="s">
        <v>1887</v>
      </c>
      <c r="G74" s="138">
        <v>419</v>
      </c>
      <c r="H74" s="139" t="s">
        <v>1888</v>
      </c>
    </row>
    <row r="75" spans="1:8" ht="15" customHeight="1" x14ac:dyDescent="0.2">
      <c r="A75" s="138">
        <v>58</v>
      </c>
      <c r="B75" s="139" t="s">
        <v>1889</v>
      </c>
      <c r="D75" s="138">
        <v>548</v>
      </c>
      <c r="E75" s="139" t="s">
        <v>1890</v>
      </c>
      <c r="G75" s="138">
        <v>606</v>
      </c>
      <c r="H75" s="139" t="s">
        <v>1891</v>
      </c>
    </row>
    <row r="76" spans="1:8" ht="15" customHeight="1" x14ac:dyDescent="0.2">
      <c r="A76" s="138">
        <v>60</v>
      </c>
      <c r="B76" s="139" t="s">
        <v>1892</v>
      </c>
      <c r="D76" s="138">
        <v>245</v>
      </c>
      <c r="E76" s="139" t="s">
        <v>1893</v>
      </c>
      <c r="G76" s="138">
        <v>421</v>
      </c>
      <c r="H76" s="139" t="s">
        <v>1894</v>
      </c>
    </row>
    <row r="77" spans="1:8" ht="15" customHeight="1" x14ac:dyDescent="0.2">
      <c r="A77" s="138">
        <v>61</v>
      </c>
      <c r="B77" s="139" t="s">
        <v>3084</v>
      </c>
      <c r="D77" s="138">
        <v>600</v>
      </c>
      <c r="E77" s="139" t="s">
        <v>3085</v>
      </c>
      <c r="G77" s="138">
        <v>422</v>
      </c>
      <c r="H77" s="139" t="s">
        <v>3086</v>
      </c>
    </row>
    <row r="78" spans="1:8" ht="15" customHeight="1" x14ac:dyDescent="0.2">
      <c r="A78" s="138">
        <v>63</v>
      </c>
      <c r="B78" s="139" t="s">
        <v>3087</v>
      </c>
      <c r="D78" s="138">
        <v>246</v>
      </c>
      <c r="E78" s="139" t="s">
        <v>3088</v>
      </c>
      <c r="G78" s="138">
        <v>551</v>
      </c>
      <c r="H78" s="139" t="s">
        <v>3089</v>
      </c>
    </row>
    <row r="79" spans="1:8" ht="15" customHeight="1" x14ac:dyDescent="0.2">
      <c r="A79" s="138">
        <v>64</v>
      </c>
      <c r="B79" s="139" t="s">
        <v>3090</v>
      </c>
      <c r="D79" s="138">
        <v>247</v>
      </c>
      <c r="E79" s="139" t="s">
        <v>3091</v>
      </c>
      <c r="G79" s="138">
        <v>423</v>
      </c>
      <c r="H79" s="139" t="s">
        <v>3678</v>
      </c>
    </row>
    <row r="80" spans="1:8" ht="15" customHeight="1" x14ac:dyDescent="0.2">
      <c r="A80" s="138">
        <v>65</v>
      </c>
      <c r="B80" s="139" t="s">
        <v>3679</v>
      </c>
      <c r="D80" s="138">
        <v>248</v>
      </c>
      <c r="E80" s="139" t="s">
        <v>3680</v>
      </c>
      <c r="G80" s="138">
        <v>424</v>
      </c>
      <c r="H80" s="139" t="s">
        <v>3681</v>
      </c>
    </row>
    <row r="81" spans="1:8" ht="15" customHeight="1" x14ac:dyDescent="0.2">
      <c r="A81" s="138">
        <v>66</v>
      </c>
      <c r="B81" s="139" t="s">
        <v>3682</v>
      </c>
      <c r="D81" s="138">
        <v>578</v>
      </c>
      <c r="E81" s="139" t="s">
        <v>3683</v>
      </c>
      <c r="G81" s="138">
        <v>425</v>
      </c>
      <c r="H81" s="139" t="s">
        <v>3684</v>
      </c>
    </row>
    <row r="82" spans="1:8" ht="15" customHeight="1" x14ac:dyDescent="0.2">
      <c r="A82" s="138">
        <v>67</v>
      </c>
      <c r="B82" s="139" t="s">
        <v>3685</v>
      </c>
      <c r="D82" s="138">
        <v>555</v>
      </c>
      <c r="E82" s="139" t="s">
        <v>3686</v>
      </c>
      <c r="G82" s="138">
        <v>426</v>
      </c>
      <c r="H82" s="139" t="s">
        <v>3687</v>
      </c>
    </row>
    <row r="83" spans="1:8" ht="15" customHeight="1" x14ac:dyDescent="0.2">
      <c r="A83" s="138">
        <v>68</v>
      </c>
      <c r="B83" s="139" t="s">
        <v>3688</v>
      </c>
      <c r="D83" s="138">
        <v>249</v>
      </c>
      <c r="E83" s="139" t="s">
        <v>3689</v>
      </c>
      <c r="G83" s="138">
        <v>427</v>
      </c>
      <c r="H83" s="139" t="s">
        <v>3690</v>
      </c>
    </row>
    <row r="84" spans="1:8" ht="15" customHeight="1" x14ac:dyDescent="0.2">
      <c r="A84" s="138">
        <v>603</v>
      </c>
      <c r="B84" s="139" t="s">
        <v>3691</v>
      </c>
      <c r="D84" s="138">
        <v>250</v>
      </c>
      <c r="E84" s="139" t="s">
        <v>1368</v>
      </c>
      <c r="G84" s="138">
        <v>592</v>
      </c>
      <c r="H84" s="139" t="s">
        <v>1369</v>
      </c>
    </row>
    <row r="85" spans="1:8" ht="15" customHeight="1" x14ac:dyDescent="0.2">
      <c r="A85" s="138">
        <v>69</v>
      </c>
      <c r="B85" s="139" t="s">
        <v>1370</v>
      </c>
      <c r="D85" s="138">
        <v>251</v>
      </c>
      <c r="E85" s="139" t="s">
        <v>1371</v>
      </c>
      <c r="G85" s="138">
        <v>607</v>
      </c>
      <c r="H85" s="139" t="s">
        <v>1372</v>
      </c>
    </row>
    <row r="86" spans="1:8" ht="15" customHeight="1" x14ac:dyDescent="0.2">
      <c r="A86" s="138">
        <v>70</v>
      </c>
      <c r="B86" s="139" t="s">
        <v>1373</v>
      </c>
      <c r="D86" s="138">
        <v>252</v>
      </c>
      <c r="E86" s="139" t="s">
        <v>1374</v>
      </c>
      <c r="G86" s="138">
        <v>432</v>
      </c>
      <c r="H86" s="139" t="s">
        <v>1375</v>
      </c>
    </row>
    <row r="87" spans="1:8" ht="15" customHeight="1" x14ac:dyDescent="0.2">
      <c r="A87" s="138">
        <v>71</v>
      </c>
      <c r="B87" s="139" t="s">
        <v>1376</v>
      </c>
      <c r="D87" s="138">
        <v>253</v>
      </c>
      <c r="E87" s="139" t="s">
        <v>1377</v>
      </c>
      <c r="G87" s="138">
        <v>436</v>
      </c>
      <c r="H87" s="139" t="s">
        <v>1375</v>
      </c>
    </row>
    <row r="88" spans="1:8" ht="15" customHeight="1" x14ac:dyDescent="0.2">
      <c r="A88" s="138">
        <v>72</v>
      </c>
      <c r="B88" s="139" t="s">
        <v>1378</v>
      </c>
      <c r="D88" s="138">
        <v>254</v>
      </c>
      <c r="E88" s="139" t="s">
        <v>1379</v>
      </c>
      <c r="G88" s="138">
        <v>437</v>
      </c>
      <c r="H88" s="139" t="s">
        <v>1380</v>
      </c>
    </row>
    <row r="89" spans="1:8" ht="15" customHeight="1" x14ac:dyDescent="0.2">
      <c r="A89" s="138">
        <v>74</v>
      </c>
      <c r="B89" s="139" t="s">
        <v>1381</v>
      </c>
      <c r="D89" s="138">
        <v>256</v>
      </c>
      <c r="E89" s="139" t="s">
        <v>1382</v>
      </c>
      <c r="G89" s="138">
        <v>428</v>
      </c>
      <c r="H89" s="139" t="s">
        <v>1383</v>
      </c>
    </row>
    <row r="90" spans="1:8" ht="15" customHeight="1" x14ac:dyDescent="0.2">
      <c r="A90" s="138">
        <v>75</v>
      </c>
      <c r="B90" s="139" t="s">
        <v>1384</v>
      </c>
      <c r="D90" s="138">
        <v>539</v>
      </c>
      <c r="E90" s="139" t="s">
        <v>1385</v>
      </c>
      <c r="G90" s="138">
        <v>438</v>
      </c>
      <c r="H90" s="139" t="s">
        <v>1745</v>
      </c>
    </row>
    <row r="91" spans="1:8" ht="15" customHeight="1" x14ac:dyDescent="0.2">
      <c r="A91" s="138">
        <v>78</v>
      </c>
      <c r="B91" s="139" t="s">
        <v>1746</v>
      </c>
      <c r="D91" s="138">
        <v>257</v>
      </c>
      <c r="E91" s="139" t="s">
        <v>1747</v>
      </c>
      <c r="G91" s="138">
        <v>429</v>
      </c>
      <c r="H91" s="139" t="s">
        <v>1748</v>
      </c>
    </row>
    <row r="92" spans="1:8" ht="15" customHeight="1" x14ac:dyDescent="0.2">
      <c r="A92" s="138">
        <v>576</v>
      </c>
      <c r="B92" s="139" t="s">
        <v>88</v>
      </c>
      <c r="D92" s="138">
        <v>258</v>
      </c>
      <c r="E92" s="139" t="s">
        <v>89</v>
      </c>
      <c r="G92" s="138">
        <v>439</v>
      </c>
      <c r="H92" s="139" t="s">
        <v>90</v>
      </c>
    </row>
    <row r="93" spans="1:8" ht="15" customHeight="1" x14ac:dyDescent="0.2">
      <c r="A93" s="138">
        <v>79</v>
      </c>
      <c r="B93" s="139" t="s">
        <v>91</v>
      </c>
      <c r="D93" s="138">
        <v>610</v>
      </c>
      <c r="E93" s="139" t="s">
        <v>3703</v>
      </c>
      <c r="G93" s="138">
        <v>440</v>
      </c>
      <c r="H93" s="139" t="s">
        <v>3704</v>
      </c>
    </row>
    <row r="94" spans="1:8" ht="15" customHeight="1" x14ac:dyDescent="0.2">
      <c r="A94" s="138">
        <v>80</v>
      </c>
      <c r="B94" s="139" t="s">
        <v>3705</v>
      </c>
      <c r="D94" s="138">
        <v>259</v>
      </c>
      <c r="E94" s="139" t="s">
        <v>3706</v>
      </c>
      <c r="G94" s="138">
        <v>430</v>
      </c>
      <c r="H94" s="139" t="s">
        <v>2461</v>
      </c>
    </row>
    <row r="95" spans="1:8" ht="15" customHeight="1" x14ac:dyDescent="0.2">
      <c r="A95" s="138">
        <v>81</v>
      </c>
      <c r="B95" s="139" t="s">
        <v>2462</v>
      </c>
      <c r="D95" s="138">
        <v>260</v>
      </c>
      <c r="E95" s="139" t="s">
        <v>2463</v>
      </c>
      <c r="G95" s="138">
        <v>431</v>
      </c>
      <c r="H95" s="139" t="s">
        <v>2464</v>
      </c>
    </row>
    <row r="96" spans="1:8" ht="15" customHeight="1" x14ac:dyDescent="0.2">
      <c r="A96" s="138">
        <v>82</v>
      </c>
      <c r="B96" s="139" t="s">
        <v>2465</v>
      </c>
      <c r="D96" s="138">
        <v>261</v>
      </c>
      <c r="E96" s="139" t="s">
        <v>2466</v>
      </c>
      <c r="G96" s="138">
        <v>441</v>
      </c>
      <c r="H96" s="139" t="s">
        <v>2467</v>
      </c>
    </row>
    <row r="97" spans="1:8" ht="15" customHeight="1" x14ac:dyDescent="0.2">
      <c r="A97" s="138">
        <v>83</v>
      </c>
      <c r="B97" s="139" t="s">
        <v>2468</v>
      </c>
      <c r="D97" s="138">
        <v>263</v>
      </c>
      <c r="E97" s="139" t="s">
        <v>2469</v>
      </c>
      <c r="G97" s="138">
        <v>442</v>
      </c>
      <c r="H97" s="139" t="s">
        <v>2470</v>
      </c>
    </row>
    <row r="98" spans="1:8" ht="15" customHeight="1" x14ac:dyDescent="0.2">
      <c r="A98" s="138">
        <v>84</v>
      </c>
      <c r="B98" s="139" t="s">
        <v>2471</v>
      </c>
      <c r="D98" s="138">
        <v>264</v>
      </c>
      <c r="E98" s="139" t="s">
        <v>2472</v>
      </c>
      <c r="G98" s="138">
        <v>433</v>
      </c>
      <c r="H98" s="139" t="s">
        <v>2473</v>
      </c>
    </row>
    <row r="99" spans="1:8" ht="15" customHeight="1" x14ac:dyDescent="0.2">
      <c r="A99" s="138">
        <v>85</v>
      </c>
      <c r="B99" s="139" t="s">
        <v>1476</v>
      </c>
      <c r="D99" s="138">
        <v>265</v>
      </c>
      <c r="E99" s="139" t="s">
        <v>1419</v>
      </c>
      <c r="G99" s="138">
        <v>435</v>
      </c>
      <c r="H99" s="139" t="s">
        <v>1420</v>
      </c>
    </row>
    <row r="100" spans="1:8" ht="15" customHeight="1" x14ac:dyDescent="0.2">
      <c r="A100" s="138">
        <v>86</v>
      </c>
      <c r="B100" s="139" t="s">
        <v>1421</v>
      </c>
      <c r="D100" s="138">
        <v>266</v>
      </c>
      <c r="E100" s="139" t="s">
        <v>1422</v>
      </c>
      <c r="G100" s="138">
        <v>564</v>
      </c>
      <c r="H100" s="139" t="s">
        <v>1423</v>
      </c>
    </row>
    <row r="101" spans="1:8" ht="15" customHeight="1" x14ac:dyDescent="0.2">
      <c r="A101" s="138">
        <v>89</v>
      </c>
      <c r="B101" s="139" t="s">
        <v>1424</v>
      </c>
      <c r="D101" s="138">
        <v>267</v>
      </c>
      <c r="E101" s="139" t="s">
        <v>1425</v>
      </c>
      <c r="G101" s="138">
        <v>608</v>
      </c>
      <c r="H101" s="139" t="s">
        <v>1426</v>
      </c>
    </row>
    <row r="102" spans="1:8" ht="15" customHeight="1" x14ac:dyDescent="0.2">
      <c r="A102" s="138">
        <v>568</v>
      </c>
      <c r="B102" s="139" t="s">
        <v>1427</v>
      </c>
      <c r="D102" s="138">
        <v>268</v>
      </c>
      <c r="E102" s="139" t="s">
        <v>2586</v>
      </c>
      <c r="G102" s="138">
        <v>443</v>
      </c>
      <c r="H102" s="139" t="s">
        <v>2587</v>
      </c>
    </row>
    <row r="103" spans="1:8" ht="15" customHeight="1" x14ac:dyDescent="0.2">
      <c r="A103" s="138">
        <v>90</v>
      </c>
      <c r="B103" s="139" t="s">
        <v>2588</v>
      </c>
      <c r="D103" s="138">
        <v>270</v>
      </c>
      <c r="E103" s="139" t="s">
        <v>2589</v>
      </c>
      <c r="G103" s="138">
        <v>444</v>
      </c>
      <c r="H103" s="139" t="s">
        <v>2590</v>
      </c>
    </row>
    <row r="104" spans="1:8" ht="15" customHeight="1" x14ac:dyDescent="0.2">
      <c r="A104" s="138">
        <v>91</v>
      </c>
      <c r="B104" s="139" t="s">
        <v>2591</v>
      </c>
      <c r="D104" s="138">
        <v>273</v>
      </c>
      <c r="E104" s="139" t="s">
        <v>2592</v>
      </c>
      <c r="G104" s="138">
        <v>445</v>
      </c>
      <c r="H104" s="139" t="s">
        <v>2593</v>
      </c>
    </row>
    <row r="105" spans="1:8" ht="15" customHeight="1" x14ac:dyDescent="0.2">
      <c r="A105" s="138">
        <v>92</v>
      </c>
      <c r="B105" s="139" t="s">
        <v>2594</v>
      </c>
      <c r="D105" s="138">
        <v>274</v>
      </c>
      <c r="E105" s="139" t="s">
        <v>2595</v>
      </c>
      <c r="G105" s="138">
        <v>614</v>
      </c>
      <c r="H105" s="139" t="s">
        <v>2596</v>
      </c>
    </row>
    <row r="106" spans="1:8" ht="15" customHeight="1" x14ac:dyDescent="0.2">
      <c r="A106" s="138">
        <v>94</v>
      </c>
      <c r="B106" s="139" t="s">
        <v>2597</v>
      </c>
      <c r="D106" s="138">
        <v>275</v>
      </c>
      <c r="E106" s="139" t="s">
        <v>2598</v>
      </c>
      <c r="G106" s="138">
        <v>447</v>
      </c>
      <c r="H106" s="139" t="s">
        <v>2599</v>
      </c>
    </row>
    <row r="107" spans="1:8" ht="15" customHeight="1" x14ac:dyDescent="0.2">
      <c r="A107" s="138">
        <v>95</v>
      </c>
      <c r="B107" s="139" t="s">
        <v>2600</v>
      </c>
      <c r="D107" s="138">
        <v>87</v>
      </c>
      <c r="E107" s="139" t="s">
        <v>2601</v>
      </c>
      <c r="G107" s="138">
        <v>449</v>
      </c>
      <c r="H107" s="139" t="s">
        <v>2602</v>
      </c>
    </row>
    <row r="108" spans="1:8" ht="15" customHeight="1" x14ac:dyDescent="0.2">
      <c r="A108" s="138">
        <v>96</v>
      </c>
      <c r="B108" s="139" t="s">
        <v>2603</v>
      </c>
      <c r="D108" s="138">
        <v>276</v>
      </c>
      <c r="E108" s="139" t="s">
        <v>2604</v>
      </c>
      <c r="G108" s="138">
        <v>450</v>
      </c>
      <c r="H108" s="139" t="s">
        <v>2605</v>
      </c>
    </row>
    <row r="109" spans="1:8" ht="15" customHeight="1" x14ac:dyDescent="0.2">
      <c r="A109" s="138">
        <v>97</v>
      </c>
      <c r="B109" s="139" t="s">
        <v>2606</v>
      </c>
      <c r="D109" s="138">
        <v>617</v>
      </c>
      <c r="E109" s="139" t="s">
        <v>2607</v>
      </c>
      <c r="G109" s="138">
        <v>628</v>
      </c>
      <c r="H109" s="139" t="s">
        <v>2348</v>
      </c>
    </row>
    <row r="110" spans="1:8" ht="15" customHeight="1" x14ac:dyDescent="0.2">
      <c r="A110" s="138">
        <v>549</v>
      </c>
      <c r="B110" s="139" t="s">
        <v>2349</v>
      </c>
      <c r="D110" s="138">
        <v>278</v>
      </c>
      <c r="E110" s="139" t="s">
        <v>2350</v>
      </c>
      <c r="G110" s="138">
        <v>452</v>
      </c>
      <c r="H110" s="139" t="s">
        <v>2351</v>
      </c>
    </row>
    <row r="111" spans="1:8" ht="15" customHeight="1" x14ac:dyDescent="0.2">
      <c r="A111" s="138">
        <v>598</v>
      </c>
      <c r="B111" s="139" t="s">
        <v>2352</v>
      </c>
      <c r="D111" s="138">
        <v>279</v>
      </c>
      <c r="E111" s="139" t="s">
        <v>2353</v>
      </c>
      <c r="G111" s="138">
        <v>631</v>
      </c>
      <c r="H111" s="139" t="s">
        <v>2354</v>
      </c>
    </row>
    <row r="112" spans="1:8" ht="15" customHeight="1" x14ac:dyDescent="0.2">
      <c r="A112" s="138">
        <v>98</v>
      </c>
      <c r="B112" s="139" t="s">
        <v>2355</v>
      </c>
      <c r="D112" s="138">
        <v>612</v>
      </c>
      <c r="E112" s="139" t="s">
        <v>2356</v>
      </c>
      <c r="G112" s="138">
        <v>453</v>
      </c>
      <c r="H112" s="139" t="s">
        <v>2357</v>
      </c>
    </row>
    <row r="113" spans="1:8" ht="15" customHeight="1" x14ac:dyDescent="0.2">
      <c r="A113" s="138">
        <v>99</v>
      </c>
      <c r="B113" s="139" t="s">
        <v>2358</v>
      </c>
      <c r="D113" s="138">
        <v>280</v>
      </c>
      <c r="E113" s="139" t="s">
        <v>2359</v>
      </c>
      <c r="G113" s="138">
        <v>454</v>
      </c>
      <c r="H113" s="139" t="s">
        <v>325</v>
      </c>
    </row>
    <row r="114" spans="1:8" ht="15" customHeight="1" x14ac:dyDescent="0.2">
      <c r="A114" s="138">
        <v>100</v>
      </c>
      <c r="B114" s="139" t="s">
        <v>326</v>
      </c>
      <c r="D114" s="138">
        <v>281</v>
      </c>
      <c r="E114" s="139" t="s">
        <v>327</v>
      </c>
      <c r="G114" s="138">
        <v>575</v>
      </c>
      <c r="H114" s="139" t="s">
        <v>328</v>
      </c>
    </row>
    <row r="115" spans="1:8" ht="15" customHeight="1" x14ac:dyDescent="0.2">
      <c r="A115" s="138">
        <v>101</v>
      </c>
      <c r="B115" s="139" t="s">
        <v>329</v>
      </c>
      <c r="D115" s="138">
        <v>295</v>
      </c>
      <c r="E115" s="139" t="s">
        <v>330</v>
      </c>
      <c r="G115" s="138">
        <v>456</v>
      </c>
      <c r="H115" s="139" t="s">
        <v>331</v>
      </c>
    </row>
    <row r="116" spans="1:8" ht="15" customHeight="1" x14ac:dyDescent="0.2">
      <c r="A116" s="138">
        <v>585</v>
      </c>
      <c r="B116" s="139" t="s">
        <v>332</v>
      </c>
      <c r="D116" s="138">
        <v>282</v>
      </c>
      <c r="E116" s="139" t="s">
        <v>333</v>
      </c>
      <c r="G116" s="138">
        <v>457</v>
      </c>
      <c r="H116" s="139" t="s">
        <v>334</v>
      </c>
    </row>
    <row r="117" spans="1:8" ht="15" customHeight="1" x14ac:dyDescent="0.2">
      <c r="A117" s="138">
        <v>102</v>
      </c>
      <c r="B117" s="139" t="s">
        <v>335</v>
      </c>
      <c r="D117" s="138">
        <v>283</v>
      </c>
      <c r="E117" s="139" t="s">
        <v>336</v>
      </c>
      <c r="G117" s="138">
        <v>458</v>
      </c>
      <c r="H117" s="139" t="s">
        <v>337</v>
      </c>
    </row>
    <row r="118" spans="1:8" ht="15" customHeight="1" x14ac:dyDescent="0.2">
      <c r="A118" s="138">
        <v>103</v>
      </c>
      <c r="B118" s="139" t="s">
        <v>1303</v>
      </c>
      <c r="D118" s="138">
        <v>284</v>
      </c>
      <c r="E118" s="139" t="s">
        <v>1304</v>
      </c>
      <c r="G118" s="138">
        <v>557</v>
      </c>
      <c r="H118" s="139" t="s">
        <v>1305</v>
      </c>
    </row>
    <row r="119" spans="1:8" ht="15" customHeight="1" x14ac:dyDescent="0.2">
      <c r="A119" s="138">
        <v>104</v>
      </c>
      <c r="B119" s="139" t="s">
        <v>1306</v>
      </c>
      <c r="D119" s="138">
        <v>285</v>
      </c>
      <c r="E119" s="139" t="s">
        <v>1307</v>
      </c>
      <c r="G119" s="138">
        <v>459</v>
      </c>
      <c r="H119" s="139" t="s">
        <v>1308</v>
      </c>
    </row>
    <row r="120" spans="1:8" ht="15" customHeight="1" x14ac:dyDescent="0.2">
      <c r="A120" s="138">
        <v>105</v>
      </c>
      <c r="B120" s="139" t="s">
        <v>1309</v>
      </c>
      <c r="D120" s="138">
        <v>287</v>
      </c>
      <c r="E120" s="139" t="s">
        <v>1310</v>
      </c>
      <c r="G120" s="138">
        <v>626</v>
      </c>
      <c r="H120" s="139" t="s">
        <v>1387</v>
      </c>
    </row>
    <row r="121" spans="1:8" ht="15" customHeight="1" x14ac:dyDescent="0.2">
      <c r="A121" s="138">
        <v>106</v>
      </c>
      <c r="B121" s="139" t="s">
        <v>105</v>
      </c>
      <c r="D121" s="138">
        <v>288</v>
      </c>
      <c r="E121" s="139" t="s">
        <v>106</v>
      </c>
      <c r="G121" s="138">
        <v>460</v>
      </c>
      <c r="H121" s="139" t="s">
        <v>107</v>
      </c>
    </row>
    <row r="122" spans="1:8" ht="15" customHeight="1" x14ac:dyDescent="0.2">
      <c r="A122" s="138">
        <v>107</v>
      </c>
      <c r="B122" s="139" t="s">
        <v>108</v>
      </c>
      <c r="D122" s="138">
        <v>554</v>
      </c>
      <c r="E122" s="139" t="s">
        <v>109</v>
      </c>
      <c r="G122" s="138">
        <v>461</v>
      </c>
      <c r="H122" s="139" t="s">
        <v>110</v>
      </c>
    </row>
    <row r="123" spans="1:8" ht="15" customHeight="1" x14ac:dyDescent="0.2">
      <c r="A123" s="138">
        <v>108</v>
      </c>
      <c r="B123" s="139" t="s">
        <v>111</v>
      </c>
      <c r="D123" s="138">
        <v>289</v>
      </c>
      <c r="E123" s="139" t="s">
        <v>112</v>
      </c>
      <c r="G123" s="138">
        <v>462</v>
      </c>
      <c r="H123" s="139" t="s">
        <v>113</v>
      </c>
    </row>
    <row r="124" spans="1:8" ht="15" customHeight="1" x14ac:dyDescent="0.2">
      <c r="A124" s="138">
        <v>110</v>
      </c>
      <c r="B124" s="139" t="s">
        <v>114</v>
      </c>
      <c r="D124" s="138">
        <v>290</v>
      </c>
      <c r="E124" s="139" t="s">
        <v>115</v>
      </c>
      <c r="G124" s="138">
        <v>463</v>
      </c>
      <c r="H124" s="139" t="s">
        <v>116</v>
      </c>
    </row>
    <row r="125" spans="1:8" ht="15" customHeight="1" x14ac:dyDescent="0.2">
      <c r="A125" s="138">
        <v>111</v>
      </c>
      <c r="B125" s="139" t="s">
        <v>117</v>
      </c>
      <c r="D125" s="138">
        <v>537</v>
      </c>
      <c r="E125" s="139" t="s">
        <v>118</v>
      </c>
      <c r="G125" s="138">
        <v>601</v>
      </c>
      <c r="H125" s="139" t="s">
        <v>119</v>
      </c>
    </row>
    <row r="126" spans="1:8" ht="15" customHeight="1" x14ac:dyDescent="0.2">
      <c r="A126" s="138">
        <v>113</v>
      </c>
      <c r="B126" s="139" t="s">
        <v>120</v>
      </c>
      <c r="D126" s="138">
        <v>291</v>
      </c>
      <c r="E126" s="139" t="s">
        <v>118</v>
      </c>
      <c r="G126" s="138">
        <v>464</v>
      </c>
      <c r="H126" s="139" t="s">
        <v>121</v>
      </c>
    </row>
    <row r="127" spans="1:8" ht="15" customHeight="1" x14ac:dyDescent="0.2">
      <c r="A127" s="138">
        <v>114</v>
      </c>
      <c r="B127" s="139" t="s">
        <v>122</v>
      </c>
      <c r="D127" s="138">
        <v>292</v>
      </c>
      <c r="E127" s="139" t="s">
        <v>1311</v>
      </c>
      <c r="G127" s="138">
        <v>593</v>
      </c>
      <c r="H127" s="139" t="s">
        <v>1312</v>
      </c>
    </row>
    <row r="128" spans="1:8" ht="15" customHeight="1" x14ac:dyDescent="0.2">
      <c r="A128" s="138">
        <v>619</v>
      </c>
      <c r="B128" s="139" t="s">
        <v>1313</v>
      </c>
      <c r="D128" s="138">
        <v>561</v>
      </c>
      <c r="E128" s="139" t="s">
        <v>1314</v>
      </c>
      <c r="G128" s="138">
        <v>466</v>
      </c>
      <c r="H128" s="139" t="s">
        <v>1315</v>
      </c>
    </row>
    <row r="129" spans="1:8" ht="15" customHeight="1" x14ac:dyDescent="0.2">
      <c r="A129" s="138">
        <v>115</v>
      </c>
      <c r="B129" s="139" t="s">
        <v>1316</v>
      </c>
      <c r="D129" s="138">
        <v>293</v>
      </c>
      <c r="E129" s="139" t="s">
        <v>1317</v>
      </c>
      <c r="G129" s="138">
        <v>467</v>
      </c>
      <c r="H129" s="139" t="s">
        <v>1318</v>
      </c>
    </row>
    <row r="130" spans="1:8" ht="15" customHeight="1" x14ac:dyDescent="0.2">
      <c r="A130" s="138">
        <v>116</v>
      </c>
      <c r="B130" s="139" t="s">
        <v>1319</v>
      </c>
      <c r="D130" s="138">
        <v>294</v>
      </c>
      <c r="E130" s="139" t="s">
        <v>1502</v>
      </c>
      <c r="G130" s="138">
        <v>468</v>
      </c>
      <c r="H130" s="139" t="s">
        <v>1503</v>
      </c>
    </row>
    <row r="131" spans="1:8" ht="15" customHeight="1" x14ac:dyDescent="0.2">
      <c r="A131" s="138">
        <v>629</v>
      </c>
      <c r="B131" s="139" t="s">
        <v>1504</v>
      </c>
      <c r="D131" s="138">
        <v>296</v>
      </c>
      <c r="E131" s="139" t="s">
        <v>1505</v>
      </c>
      <c r="G131" s="138">
        <v>469</v>
      </c>
      <c r="H131" s="139" t="s">
        <v>1506</v>
      </c>
    </row>
    <row r="132" spans="1:8" ht="15" customHeight="1" x14ac:dyDescent="0.2">
      <c r="A132" s="138">
        <v>117</v>
      </c>
      <c r="B132" s="139" t="s">
        <v>1507</v>
      </c>
      <c r="D132" s="138">
        <v>297</v>
      </c>
      <c r="E132" s="139" t="s">
        <v>1508</v>
      </c>
      <c r="G132" s="138">
        <v>471</v>
      </c>
      <c r="H132" s="139" t="s">
        <v>1509</v>
      </c>
    </row>
    <row r="133" spans="1:8" ht="15" customHeight="1" x14ac:dyDescent="0.2">
      <c r="A133" s="138">
        <v>571</v>
      </c>
      <c r="B133" s="139" t="s">
        <v>3984</v>
      </c>
      <c r="D133" s="138">
        <v>588</v>
      </c>
      <c r="E133" s="139" t="s">
        <v>3985</v>
      </c>
      <c r="G133" s="138">
        <v>472</v>
      </c>
      <c r="H133" s="139" t="s">
        <v>3986</v>
      </c>
    </row>
    <row r="134" spans="1:8" ht="15" customHeight="1" x14ac:dyDescent="0.2">
      <c r="A134" s="138">
        <v>118</v>
      </c>
      <c r="B134" s="139" t="s">
        <v>3987</v>
      </c>
      <c r="D134" s="138">
        <v>299</v>
      </c>
      <c r="E134" s="139" t="s">
        <v>3988</v>
      </c>
      <c r="G134" s="138">
        <v>473</v>
      </c>
      <c r="H134" s="139" t="s">
        <v>1832</v>
      </c>
    </row>
    <row r="135" spans="1:8" ht="15" customHeight="1" x14ac:dyDescent="0.2">
      <c r="A135" s="138">
        <v>119</v>
      </c>
      <c r="B135" s="139" t="s">
        <v>1833</v>
      </c>
      <c r="D135" s="138">
        <v>300</v>
      </c>
      <c r="E135" s="139" t="s">
        <v>1834</v>
      </c>
      <c r="G135" s="138">
        <v>474</v>
      </c>
      <c r="H135" s="139" t="s">
        <v>1835</v>
      </c>
    </row>
    <row r="136" spans="1:8" ht="15" customHeight="1" x14ac:dyDescent="0.2">
      <c r="A136" s="138">
        <v>120</v>
      </c>
      <c r="B136" s="139" t="s">
        <v>1836</v>
      </c>
      <c r="D136" s="138">
        <v>301</v>
      </c>
      <c r="E136" s="139" t="s">
        <v>1837</v>
      </c>
      <c r="G136" s="138">
        <v>475</v>
      </c>
      <c r="H136" s="139" t="s">
        <v>1838</v>
      </c>
    </row>
    <row r="137" spans="1:8" ht="15" customHeight="1" x14ac:dyDescent="0.2">
      <c r="A137" s="138">
        <v>121</v>
      </c>
      <c r="B137" s="139" t="s">
        <v>1839</v>
      </c>
      <c r="D137" s="138">
        <v>302</v>
      </c>
      <c r="E137" s="139" t="s">
        <v>1840</v>
      </c>
      <c r="G137" s="138">
        <v>541</v>
      </c>
      <c r="H137" s="139" t="s">
        <v>1841</v>
      </c>
    </row>
    <row r="138" spans="1:8" ht="15" customHeight="1" x14ac:dyDescent="0.2">
      <c r="A138" s="138">
        <v>122</v>
      </c>
      <c r="B138" s="139" t="s">
        <v>1842</v>
      </c>
      <c r="D138" s="138">
        <v>303</v>
      </c>
      <c r="E138" s="139" t="s">
        <v>1843</v>
      </c>
      <c r="G138" s="138">
        <v>476</v>
      </c>
      <c r="H138" s="139" t="s">
        <v>1844</v>
      </c>
    </row>
    <row r="139" spans="1:8" ht="15" customHeight="1" x14ac:dyDescent="0.2">
      <c r="A139" s="138">
        <v>123</v>
      </c>
      <c r="B139" s="139" t="s">
        <v>1845</v>
      </c>
      <c r="D139" s="138">
        <v>304</v>
      </c>
      <c r="E139" s="139" t="s">
        <v>1846</v>
      </c>
      <c r="G139" s="138">
        <v>477</v>
      </c>
      <c r="H139" s="139" t="s">
        <v>1431</v>
      </c>
    </row>
    <row r="140" spans="1:8" ht="15" customHeight="1" x14ac:dyDescent="0.2">
      <c r="A140" s="138">
        <v>124</v>
      </c>
      <c r="B140" s="139" t="s">
        <v>2682</v>
      </c>
      <c r="D140" s="138">
        <v>306</v>
      </c>
      <c r="E140" s="139" t="s">
        <v>2683</v>
      </c>
      <c r="G140" s="138">
        <v>478</v>
      </c>
      <c r="H140" s="139" t="s">
        <v>2684</v>
      </c>
    </row>
    <row r="141" spans="1:8" ht="15" customHeight="1" x14ac:dyDescent="0.2">
      <c r="A141" s="138">
        <v>618</v>
      </c>
      <c r="B141" s="139" t="s">
        <v>2685</v>
      </c>
      <c r="D141" s="138">
        <v>307</v>
      </c>
      <c r="E141" s="139" t="s">
        <v>2686</v>
      </c>
      <c r="G141" s="138">
        <v>565</v>
      </c>
      <c r="H141" s="139" t="s">
        <v>2687</v>
      </c>
    </row>
    <row r="142" spans="1:8" ht="15" customHeight="1" x14ac:dyDescent="0.2">
      <c r="A142" s="138">
        <v>125</v>
      </c>
      <c r="B142" s="139" t="s">
        <v>2688</v>
      </c>
      <c r="D142" s="138">
        <v>308</v>
      </c>
      <c r="E142" s="139" t="s">
        <v>2689</v>
      </c>
      <c r="G142" s="138">
        <v>558</v>
      </c>
      <c r="H142" s="139" t="s">
        <v>2690</v>
      </c>
    </row>
    <row r="143" spans="1:8" ht="15" customHeight="1" x14ac:dyDescent="0.2">
      <c r="A143" s="138">
        <v>569</v>
      </c>
      <c r="B143" s="139" t="s">
        <v>276</v>
      </c>
      <c r="D143" s="138">
        <v>605</v>
      </c>
      <c r="E143" s="139" t="s">
        <v>277</v>
      </c>
      <c r="G143" s="138">
        <v>480</v>
      </c>
      <c r="H143" s="139" t="s">
        <v>278</v>
      </c>
    </row>
    <row r="144" spans="1:8" ht="15" customHeight="1" x14ac:dyDescent="0.2">
      <c r="A144" s="140">
        <v>127</v>
      </c>
      <c r="B144" s="141" t="s">
        <v>279</v>
      </c>
      <c r="D144" s="140">
        <v>309</v>
      </c>
      <c r="E144" s="141" t="s">
        <v>280</v>
      </c>
      <c r="G144" s="140">
        <v>481</v>
      </c>
      <c r="H144" s="141" t="s">
        <v>281</v>
      </c>
    </row>
    <row r="145" spans="1:8" ht="15" customHeight="1" x14ac:dyDescent="0.2">
      <c r="A145" s="140">
        <v>129</v>
      </c>
      <c r="B145" s="141" t="s">
        <v>282</v>
      </c>
      <c r="D145" s="140">
        <v>542</v>
      </c>
      <c r="E145" s="141" t="s">
        <v>283</v>
      </c>
      <c r="G145" s="140">
        <v>483</v>
      </c>
      <c r="H145" s="141" t="s">
        <v>3448</v>
      </c>
    </row>
    <row r="146" spans="1:8" ht="15" customHeight="1" x14ac:dyDescent="0.2">
      <c r="A146" s="140">
        <v>604</v>
      </c>
      <c r="B146" s="141" t="s">
        <v>3449</v>
      </c>
      <c r="D146" s="140">
        <v>311</v>
      </c>
      <c r="E146" s="141" t="s">
        <v>3450</v>
      </c>
      <c r="G146" s="140">
        <v>484</v>
      </c>
      <c r="H146" s="141" t="s">
        <v>3451</v>
      </c>
    </row>
    <row r="147" spans="1:8" ht="15" customHeight="1" x14ac:dyDescent="0.2">
      <c r="A147" s="140">
        <v>130</v>
      </c>
      <c r="B147" s="141" t="s">
        <v>443</v>
      </c>
      <c r="D147" s="140">
        <v>312</v>
      </c>
      <c r="E147" s="141" t="s">
        <v>444</v>
      </c>
      <c r="G147" s="140">
        <v>485</v>
      </c>
      <c r="H147" s="141" t="s">
        <v>2734</v>
      </c>
    </row>
    <row r="148" spans="1:8" ht="15" customHeight="1" x14ac:dyDescent="0.2">
      <c r="A148" s="140">
        <v>131</v>
      </c>
      <c r="B148" s="141" t="s">
        <v>2735</v>
      </c>
      <c r="D148" s="140">
        <v>313</v>
      </c>
      <c r="E148" s="141" t="s">
        <v>2736</v>
      </c>
      <c r="G148" s="140">
        <v>486</v>
      </c>
      <c r="H148" s="141" t="s">
        <v>2737</v>
      </c>
    </row>
    <row r="149" spans="1:8" ht="15" customHeight="1" x14ac:dyDescent="0.2">
      <c r="A149" s="140">
        <v>132</v>
      </c>
      <c r="B149" s="141" t="s">
        <v>2135</v>
      </c>
      <c r="D149" s="140">
        <v>314</v>
      </c>
      <c r="E149" s="141" t="s">
        <v>2136</v>
      </c>
      <c r="G149" s="140">
        <v>487</v>
      </c>
      <c r="H149" s="141" t="s">
        <v>2137</v>
      </c>
    </row>
    <row r="150" spans="1:8" ht="15" customHeight="1" x14ac:dyDescent="0.2">
      <c r="A150" s="140">
        <v>134</v>
      </c>
      <c r="B150" s="141" t="s">
        <v>2138</v>
      </c>
      <c r="D150" s="140">
        <v>535</v>
      </c>
      <c r="E150" s="141" t="s">
        <v>2139</v>
      </c>
      <c r="G150" s="140">
        <v>488</v>
      </c>
      <c r="H150" s="141" t="s">
        <v>2140</v>
      </c>
    </row>
    <row r="151" spans="1:8" ht="15" customHeight="1" x14ac:dyDescent="0.2">
      <c r="A151" s="140">
        <v>135</v>
      </c>
      <c r="B151" s="141" t="s">
        <v>2141</v>
      </c>
      <c r="D151" s="140">
        <v>315</v>
      </c>
      <c r="E151" s="141" t="s">
        <v>2142</v>
      </c>
      <c r="G151" s="140">
        <v>489</v>
      </c>
      <c r="H151" s="141" t="s">
        <v>2143</v>
      </c>
    </row>
    <row r="152" spans="1:8" ht="15" customHeight="1" x14ac:dyDescent="0.2">
      <c r="A152" s="140">
        <v>136</v>
      </c>
      <c r="B152" s="141" t="s">
        <v>2144</v>
      </c>
      <c r="D152" s="140">
        <v>316</v>
      </c>
      <c r="E152" s="141" t="s">
        <v>2145</v>
      </c>
      <c r="G152" s="140">
        <v>490</v>
      </c>
      <c r="H152" s="141" t="s">
        <v>2146</v>
      </c>
    </row>
    <row r="153" spans="1:8" ht="15" customHeight="1" x14ac:dyDescent="0.2">
      <c r="A153" s="140">
        <v>137</v>
      </c>
      <c r="B153" s="141" t="s">
        <v>2147</v>
      </c>
      <c r="D153" s="140">
        <v>317</v>
      </c>
      <c r="E153" s="141" t="s">
        <v>2148</v>
      </c>
      <c r="G153" s="140">
        <v>491</v>
      </c>
      <c r="H153" s="141" t="s">
        <v>2149</v>
      </c>
    </row>
    <row r="154" spans="1:8" ht="15" customHeight="1" x14ac:dyDescent="0.2">
      <c r="A154" s="140">
        <v>138</v>
      </c>
      <c r="B154" s="141" t="s">
        <v>2150</v>
      </c>
      <c r="D154" s="140">
        <v>318</v>
      </c>
      <c r="E154" s="141" t="s">
        <v>2151</v>
      </c>
      <c r="G154" s="140">
        <v>492</v>
      </c>
      <c r="H154" s="141" t="s">
        <v>2152</v>
      </c>
    </row>
    <row r="155" spans="1:8" ht="15" customHeight="1" x14ac:dyDescent="0.2">
      <c r="A155" s="140">
        <v>139</v>
      </c>
      <c r="B155" s="141" t="s">
        <v>2153</v>
      </c>
      <c r="D155" s="140">
        <v>320</v>
      </c>
      <c r="E155" s="141" t="s">
        <v>2154</v>
      </c>
      <c r="G155" s="140">
        <v>493</v>
      </c>
      <c r="H155" s="141" t="s">
        <v>2155</v>
      </c>
    </row>
    <row r="156" spans="1:8" ht="15" customHeight="1" x14ac:dyDescent="0.2">
      <c r="A156" s="140">
        <v>140</v>
      </c>
      <c r="B156" s="141" t="s">
        <v>2156</v>
      </c>
      <c r="D156" s="140">
        <v>321</v>
      </c>
      <c r="E156" s="141" t="s">
        <v>2157</v>
      </c>
      <c r="G156" s="140">
        <v>494</v>
      </c>
      <c r="H156" s="141" t="s">
        <v>2158</v>
      </c>
    </row>
    <row r="157" spans="1:8" ht="15" customHeight="1" x14ac:dyDescent="0.2">
      <c r="A157" s="140">
        <v>141</v>
      </c>
      <c r="B157" s="141" t="s">
        <v>2159</v>
      </c>
      <c r="D157" s="140">
        <v>323</v>
      </c>
      <c r="E157" s="141" t="s">
        <v>2160</v>
      </c>
      <c r="G157" s="140">
        <v>495</v>
      </c>
      <c r="H157" s="141" t="s">
        <v>2161</v>
      </c>
    </row>
    <row r="158" spans="1:8" ht="15" customHeight="1" x14ac:dyDescent="0.2">
      <c r="A158" s="140">
        <v>510</v>
      </c>
      <c r="B158" s="141" t="s">
        <v>2162</v>
      </c>
      <c r="D158" s="140">
        <v>324</v>
      </c>
      <c r="E158" s="141" t="s">
        <v>2163</v>
      </c>
      <c r="G158" s="140">
        <v>497</v>
      </c>
      <c r="H158" s="141" t="s">
        <v>2345</v>
      </c>
    </row>
    <row r="159" spans="1:8" ht="15" customHeight="1" x14ac:dyDescent="0.2">
      <c r="A159" s="140">
        <v>144</v>
      </c>
      <c r="B159" s="141" t="s">
        <v>2346</v>
      </c>
      <c r="D159" s="140">
        <v>325</v>
      </c>
      <c r="E159" s="141" t="s">
        <v>2347</v>
      </c>
      <c r="G159" s="140">
        <v>498</v>
      </c>
      <c r="H159" s="141" t="s">
        <v>2315</v>
      </c>
    </row>
    <row r="160" spans="1:8" ht="15" customHeight="1" x14ac:dyDescent="0.2">
      <c r="A160" s="140">
        <v>145</v>
      </c>
      <c r="B160" s="141" t="s">
        <v>2316</v>
      </c>
      <c r="D160" s="140">
        <v>326</v>
      </c>
      <c r="E160" s="141" t="s">
        <v>2317</v>
      </c>
      <c r="G160" s="140">
        <v>579</v>
      </c>
      <c r="H160" s="141" t="s">
        <v>2031</v>
      </c>
    </row>
    <row r="161" spans="1:8" ht="15" customHeight="1" x14ac:dyDescent="0.2">
      <c r="A161" s="140">
        <v>146</v>
      </c>
      <c r="B161" s="141" t="s">
        <v>2032</v>
      </c>
      <c r="D161" s="140">
        <v>327</v>
      </c>
      <c r="E161" s="141" t="s">
        <v>2033</v>
      </c>
      <c r="G161" s="140">
        <v>499</v>
      </c>
      <c r="H161" s="141" t="s">
        <v>2034</v>
      </c>
    </row>
    <row r="162" spans="1:8" ht="15" customHeight="1" x14ac:dyDescent="0.2">
      <c r="A162" s="140">
        <v>148</v>
      </c>
      <c r="B162" s="141" t="s">
        <v>2035</v>
      </c>
      <c r="D162" s="140">
        <v>328</v>
      </c>
      <c r="E162" s="141" t="s">
        <v>2036</v>
      </c>
      <c r="G162" s="140">
        <v>500</v>
      </c>
      <c r="H162" s="141" t="s">
        <v>2037</v>
      </c>
    </row>
    <row r="163" spans="1:8" ht="15" customHeight="1" x14ac:dyDescent="0.2">
      <c r="A163" s="140">
        <v>149</v>
      </c>
      <c r="B163" s="141" t="s">
        <v>2038</v>
      </c>
      <c r="D163" s="140">
        <v>329</v>
      </c>
      <c r="E163" s="141" t="s">
        <v>2039</v>
      </c>
      <c r="G163" s="140">
        <v>502</v>
      </c>
      <c r="H163" s="141" t="s">
        <v>2040</v>
      </c>
    </row>
    <row r="164" spans="1:8" ht="15" customHeight="1" x14ac:dyDescent="0.2">
      <c r="A164" s="140">
        <v>150</v>
      </c>
      <c r="B164" s="141" t="s">
        <v>2041</v>
      </c>
      <c r="D164" s="140">
        <v>330</v>
      </c>
      <c r="E164" s="141" t="s">
        <v>2042</v>
      </c>
      <c r="G164" s="140">
        <v>584</v>
      </c>
      <c r="H164" s="141" t="s">
        <v>2043</v>
      </c>
    </row>
    <row r="165" spans="1:8" ht="15" customHeight="1" x14ac:dyDescent="0.2">
      <c r="A165" s="140">
        <v>152</v>
      </c>
      <c r="B165" s="141" t="s">
        <v>2044</v>
      </c>
      <c r="D165" s="140">
        <v>581</v>
      </c>
      <c r="E165" s="141" t="s">
        <v>2045</v>
      </c>
      <c r="G165" s="140">
        <v>503</v>
      </c>
      <c r="H165" s="141" t="s">
        <v>2046</v>
      </c>
    </row>
    <row r="166" spans="1:8" ht="15" customHeight="1" x14ac:dyDescent="0.2">
      <c r="A166" s="140">
        <v>153</v>
      </c>
      <c r="B166" s="141" t="s">
        <v>2047</v>
      </c>
      <c r="D166" s="140">
        <v>331</v>
      </c>
      <c r="E166" s="141" t="s">
        <v>2048</v>
      </c>
      <c r="G166" s="140">
        <v>504</v>
      </c>
      <c r="H166" s="141" t="s">
        <v>2049</v>
      </c>
    </row>
    <row r="167" spans="1:8" ht="15" customHeight="1" x14ac:dyDescent="0.2">
      <c r="A167" s="140">
        <v>154</v>
      </c>
      <c r="B167" s="141" t="s">
        <v>2050</v>
      </c>
      <c r="D167" s="140">
        <v>332</v>
      </c>
      <c r="E167" s="141" t="s">
        <v>2051</v>
      </c>
      <c r="G167" s="140">
        <v>505</v>
      </c>
      <c r="H167" s="141" t="s">
        <v>2052</v>
      </c>
    </row>
    <row r="168" spans="1:8" ht="15" customHeight="1" x14ac:dyDescent="0.2">
      <c r="A168" s="140">
        <v>155</v>
      </c>
      <c r="B168" s="141" t="s">
        <v>2053</v>
      </c>
      <c r="D168" s="140">
        <v>333</v>
      </c>
      <c r="E168" s="141" t="s">
        <v>2054</v>
      </c>
      <c r="G168" s="140">
        <v>506</v>
      </c>
      <c r="H168" s="141" t="s">
        <v>2055</v>
      </c>
    </row>
    <row r="169" spans="1:8" ht="15" customHeight="1" x14ac:dyDescent="0.2">
      <c r="A169" s="140">
        <v>156</v>
      </c>
      <c r="B169" s="141" t="s">
        <v>2056</v>
      </c>
      <c r="D169" s="140">
        <v>334</v>
      </c>
      <c r="E169" s="141" t="s">
        <v>2057</v>
      </c>
      <c r="G169" s="140">
        <v>507</v>
      </c>
      <c r="H169" s="141" t="s">
        <v>2058</v>
      </c>
    </row>
    <row r="170" spans="1:8" ht="15" customHeight="1" x14ac:dyDescent="0.2">
      <c r="A170" s="140">
        <v>158</v>
      </c>
      <c r="B170" s="141" t="s">
        <v>2059</v>
      </c>
      <c r="D170" s="140">
        <v>455</v>
      </c>
      <c r="E170" s="141" t="s">
        <v>2060</v>
      </c>
      <c r="G170" s="140">
        <v>508</v>
      </c>
      <c r="H170" s="141" t="s">
        <v>2061</v>
      </c>
    </row>
    <row r="171" spans="1:8" ht="15" customHeight="1" x14ac:dyDescent="0.2">
      <c r="A171" s="140">
        <v>159</v>
      </c>
      <c r="B171" s="141" t="s">
        <v>2062</v>
      </c>
      <c r="D171" s="140">
        <v>335</v>
      </c>
      <c r="E171" s="141" t="s">
        <v>2063</v>
      </c>
      <c r="G171" s="140">
        <v>509</v>
      </c>
      <c r="H171" s="141" t="s">
        <v>2064</v>
      </c>
    </row>
    <row r="172" spans="1:8" ht="15" customHeight="1" x14ac:dyDescent="0.2">
      <c r="A172" s="140">
        <v>161</v>
      </c>
      <c r="B172" s="141" t="s">
        <v>2065</v>
      </c>
      <c r="D172" s="140">
        <v>337</v>
      </c>
      <c r="E172" s="141" t="s">
        <v>2066</v>
      </c>
      <c r="G172" s="140">
        <v>511</v>
      </c>
      <c r="H172" s="141" t="s">
        <v>2067</v>
      </c>
    </row>
    <row r="173" spans="1:8" ht="15" customHeight="1" x14ac:dyDescent="0.2">
      <c r="A173" s="140">
        <v>609</v>
      </c>
      <c r="B173" s="141" t="s">
        <v>2068</v>
      </c>
      <c r="D173" s="140">
        <v>338</v>
      </c>
      <c r="E173" s="141" t="s">
        <v>2069</v>
      </c>
      <c r="G173" s="140">
        <v>512</v>
      </c>
      <c r="H173" s="141" t="s">
        <v>2070</v>
      </c>
    </row>
    <row r="174" spans="1:8" ht="15" customHeight="1" x14ac:dyDescent="0.2">
      <c r="A174" s="140">
        <v>163</v>
      </c>
      <c r="B174" s="141" t="s">
        <v>2071</v>
      </c>
      <c r="D174" s="140">
        <v>339</v>
      </c>
      <c r="E174" s="141" t="s">
        <v>2072</v>
      </c>
      <c r="G174" s="140">
        <v>513</v>
      </c>
      <c r="H174" s="141" t="s">
        <v>309</v>
      </c>
    </row>
    <row r="175" spans="1:8" ht="15" customHeight="1" x14ac:dyDescent="0.2">
      <c r="A175" s="140">
        <v>164</v>
      </c>
      <c r="B175" s="141" t="s">
        <v>310</v>
      </c>
      <c r="D175" s="140">
        <v>340</v>
      </c>
      <c r="E175" s="141" t="s">
        <v>311</v>
      </c>
      <c r="G175" s="140">
        <v>514</v>
      </c>
      <c r="H175" s="141" t="s">
        <v>312</v>
      </c>
    </row>
    <row r="176" spans="1:8" ht="15" customHeight="1" x14ac:dyDescent="0.2">
      <c r="A176" s="140">
        <v>165</v>
      </c>
      <c r="B176" s="141" t="s">
        <v>313</v>
      </c>
      <c r="D176" s="140">
        <v>271</v>
      </c>
      <c r="E176" s="141" t="s">
        <v>2987</v>
      </c>
      <c r="G176" s="140">
        <v>516</v>
      </c>
      <c r="H176" s="141" t="s">
        <v>3309</v>
      </c>
    </row>
    <row r="177" spans="1:8" ht="15" customHeight="1" x14ac:dyDescent="0.2">
      <c r="A177" s="140">
        <v>599</v>
      </c>
      <c r="B177" s="141" t="s">
        <v>4246</v>
      </c>
      <c r="D177" s="140">
        <v>616</v>
      </c>
      <c r="E177" s="141" t="s">
        <v>4247</v>
      </c>
      <c r="G177" s="140">
        <v>625</v>
      </c>
      <c r="H177" s="141" t="s">
        <v>4248</v>
      </c>
    </row>
    <row r="178" spans="1:8" ht="15" customHeight="1" x14ac:dyDescent="0.2">
      <c r="A178" s="140">
        <v>166</v>
      </c>
      <c r="B178" s="141" t="s">
        <v>4249</v>
      </c>
      <c r="D178" s="140">
        <v>341</v>
      </c>
      <c r="E178" s="141" t="s">
        <v>4250</v>
      </c>
      <c r="G178" s="140">
        <v>517</v>
      </c>
      <c r="H178" s="141" t="s">
        <v>4251</v>
      </c>
    </row>
    <row r="179" spans="1:8" ht="15" customHeight="1" x14ac:dyDescent="0.2">
      <c r="A179" s="140">
        <v>167</v>
      </c>
      <c r="B179" s="141" t="s">
        <v>4252</v>
      </c>
      <c r="D179" s="140">
        <v>342</v>
      </c>
      <c r="E179" s="141" t="s">
        <v>4253</v>
      </c>
      <c r="G179" s="140">
        <v>518</v>
      </c>
      <c r="H179" s="141" t="s">
        <v>4254</v>
      </c>
    </row>
    <row r="180" spans="1:8" ht="15" customHeight="1" x14ac:dyDescent="0.2">
      <c r="A180" s="140">
        <v>168</v>
      </c>
      <c r="B180" s="141" t="s">
        <v>4255</v>
      </c>
      <c r="D180" s="140">
        <v>343</v>
      </c>
      <c r="E180" s="141" t="s">
        <v>4256</v>
      </c>
      <c r="G180" s="140">
        <v>519</v>
      </c>
      <c r="H180" s="141" t="s">
        <v>4257</v>
      </c>
    </row>
    <row r="181" spans="1:8" ht="15" customHeight="1" x14ac:dyDescent="0.2">
      <c r="A181" s="140">
        <v>169</v>
      </c>
      <c r="B181" s="141" t="s">
        <v>4258</v>
      </c>
      <c r="D181" s="140">
        <v>544</v>
      </c>
      <c r="E181" s="141" t="s">
        <v>4259</v>
      </c>
      <c r="G181" s="140">
        <v>520</v>
      </c>
      <c r="H181" s="141" t="s">
        <v>4260</v>
      </c>
    </row>
    <row r="182" spans="1:8" ht="15" customHeight="1" x14ac:dyDescent="0.2">
      <c r="A182" s="140">
        <v>170</v>
      </c>
      <c r="B182" s="141" t="s">
        <v>4261</v>
      </c>
      <c r="D182" s="140">
        <v>344</v>
      </c>
      <c r="E182" s="141" t="s">
        <v>4262</v>
      </c>
      <c r="G182" s="140">
        <v>595</v>
      </c>
      <c r="H182" s="141" t="s">
        <v>4263</v>
      </c>
    </row>
    <row r="183" spans="1:8" ht="15" customHeight="1" x14ac:dyDescent="0.2">
      <c r="A183" s="140">
        <v>171</v>
      </c>
      <c r="B183" s="141" t="s">
        <v>4264</v>
      </c>
      <c r="D183" s="140">
        <v>345</v>
      </c>
      <c r="E183" s="141" t="s">
        <v>4265</v>
      </c>
      <c r="G183" s="140">
        <v>521</v>
      </c>
      <c r="H183" s="141" t="s">
        <v>4266</v>
      </c>
    </row>
    <row r="184" spans="1:8" ht="15" customHeight="1" x14ac:dyDescent="0.2">
      <c r="A184" s="140">
        <v>552</v>
      </c>
      <c r="B184" s="141" t="s">
        <v>4267</v>
      </c>
      <c r="D184" s="140">
        <v>346</v>
      </c>
      <c r="E184" s="141" t="s">
        <v>4268</v>
      </c>
      <c r="G184" s="140">
        <v>133</v>
      </c>
      <c r="H184" s="141" t="s">
        <v>4269</v>
      </c>
    </row>
    <row r="185" spans="1:8" ht="15" customHeight="1" x14ac:dyDescent="0.2">
      <c r="A185" s="140">
        <v>172</v>
      </c>
      <c r="B185" s="141" t="s">
        <v>4270</v>
      </c>
      <c r="D185" s="140">
        <v>347</v>
      </c>
      <c r="E185" s="141" t="s">
        <v>4271</v>
      </c>
      <c r="G185" s="140">
        <v>522</v>
      </c>
      <c r="H185" s="141" t="s">
        <v>4272</v>
      </c>
    </row>
    <row r="186" spans="1:8" ht="15" customHeight="1" x14ac:dyDescent="0.2">
      <c r="A186" s="140">
        <v>173</v>
      </c>
      <c r="B186" s="141" t="s">
        <v>4273</v>
      </c>
      <c r="D186" s="140">
        <v>348</v>
      </c>
      <c r="E186" s="141" t="s">
        <v>4274</v>
      </c>
      <c r="G186" s="140">
        <v>543</v>
      </c>
      <c r="H186" s="141" t="s">
        <v>4275</v>
      </c>
    </row>
    <row r="187" spans="1:8" ht="15" customHeight="1" x14ac:dyDescent="0.2">
      <c r="A187" s="140">
        <v>559</v>
      </c>
      <c r="B187" s="141" t="s">
        <v>4276</v>
      </c>
      <c r="D187" s="140">
        <v>349</v>
      </c>
      <c r="E187" s="141" t="s">
        <v>4277</v>
      </c>
      <c r="G187" s="140">
        <v>523</v>
      </c>
      <c r="H187" s="141" t="s">
        <v>4278</v>
      </c>
    </row>
    <row r="188" spans="1:8" ht="15" customHeight="1" x14ac:dyDescent="0.2">
      <c r="A188" s="140">
        <v>560</v>
      </c>
      <c r="B188" s="141" t="s">
        <v>4279</v>
      </c>
      <c r="D188" s="140">
        <v>350</v>
      </c>
      <c r="E188" s="141" t="s">
        <v>4280</v>
      </c>
      <c r="G188" s="140">
        <v>524</v>
      </c>
      <c r="H188" s="141" t="s">
        <v>4281</v>
      </c>
    </row>
    <row r="189" spans="1:8" ht="15" customHeight="1" x14ac:dyDescent="0.2">
      <c r="A189" s="140">
        <v>623</v>
      </c>
      <c r="B189" s="141" t="s">
        <v>4282</v>
      </c>
      <c r="D189" s="140">
        <v>573</v>
      </c>
      <c r="E189" s="141" t="s">
        <v>4283</v>
      </c>
      <c r="G189" s="140">
        <v>525</v>
      </c>
      <c r="H189" s="141" t="s">
        <v>4284</v>
      </c>
    </row>
    <row r="190" spans="1:8" ht="15" customHeight="1" x14ac:dyDescent="0.2">
      <c r="A190" s="140">
        <v>175</v>
      </c>
      <c r="B190" s="141" t="s">
        <v>4285</v>
      </c>
      <c r="D190" s="140">
        <v>351</v>
      </c>
      <c r="E190" s="141" t="s">
        <v>4286</v>
      </c>
      <c r="G190" s="140">
        <v>526</v>
      </c>
      <c r="H190" s="141" t="s">
        <v>4287</v>
      </c>
    </row>
    <row r="191" spans="1:8" ht="15" customHeight="1" x14ac:dyDescent="0.2">
      <c r="A191" s="140">
        <v>176</v>
      </c>
      <c r="B191" s="141" t="s">
        <v>4288</v>
      </c>
      <c r="D191" s="140">
        <v>352</v>
      </c>
      <c r="E191" s="141" t="s">
        <v>4289</v>
      </c>
      <c r="G191" s="140">
        <v>527</v>
      </c>
      <c r="H191" s="141" t="s">
        <v>4290</v>
      </c>
    </row>
    <row r="192" spans="1:8" ht="15" customHeight="1" x14ac:dyDescent="0.2">
      <c r="A192" s="140">
        <v>177</v>
      </c>
      <c r="B192" s="141" t="s">
        <v>1392</v>
      </c>
      <c r="D192" s="140">
        <v>354</v>
      </c>
      <c r="E192" s="141" t="s">
        <v>1393</v>
      </c>
      <c r="G192" s="140">
        <v>528</v>
      </c>
      <c r="H192" s="141" t="s">
        <v>1394</v>
      </c>
    </row>
    <row r="193" spans="1:8" ht="15" customHeight="1" x14ac:dyDescent="0.2">
      <c r="A193" s="140">
        <v>178</v>
      </c>
      <c r="B193" s="141" t="s">
        <v>1973</v>
      </c>
      <c r="D193" s="140">
        <v>355</v>
      </c>
      <c r="E193" s="141" t="s">
        <v>1974</v>
      </c>
      <c r="G193" s="140">
        <v>566</v>
      </c>
      <c r="H193" s="141" t="s">
        <v>1975</v>
      </c>
    </row>
    <row r="194" spans="1:8" ht="15" customHeight="1" x14ac:dyDescent="0.2">
      <c r="A194" s="140">
        <v>179</v>
      </c>
      <c r="B194" s="141" t="s">
        <v>1976</v>
      </c>
      <c r="D194" s="140">
        <v>356</v>
      </c>
      <c r="E194" s="141" t="s">
        <v>1977</v>
      </c>
      <c r="G194" s="140">
        <v>530</v>
      </c>
      <c r="H194" s="141" t="s">
        <v>1978</v>
      </c>
    </row>
    <row r="195" spans="1:8" ht="15" customHeight="1" x14ac:dyDescent="0.2">
      <c r="A195" s="140">
        <v>596</v>
      </c>
      <c r="B195" s="141" t="s">
        <v>264</v>
      </c>
      <c r="D195" s="140">
        <v>589</v>
      </c>
      <c r="E195" s="141" t="s">
        <v>265</v>
      </c>
      <c r="G195" s="140">
        <v>531</v>
      </c>
      <c r="H195" s="141" t="s">
        <v>266</v>
      </c>
    </row>
    <row r="196" spans="1:8" ht="15" customHeight="1" x14ac:dyDescent="0.2">
      <c r="A196" s="140">
        <v>180</v>
      </c>
      <c r="B196" s="141" t="s">
        <v>267</v>
      </c>
      <c r="D196" s="140">
        <v>620</v>
      </c>
      <c r="E196" s="141" t="s">
        <v>268</v>
      </c>
      <c r="G196" s="140">
        <v>540</v>
      </c>
      <c r="H196" s="141" t="s">
        <v>269</v>
      </c>
    </row>
    <row r="197" spans="1:8" ht="15" customHeight="1" x14ac:dyDescent="0.2">
      <c r="A197" s="140">
        <v>181</v>
      </c>
      <c r="B197" s="141" t="s">
        <v>270</v>
      </c>
      <c r="D197" s="140">
        <v>590</v>
      </c>
      <c r="E197" s="141" t="s">
        <v>764</v>
      </c>
      <c r="G197" s="140">
        <v>602</v>
      </c>
      <c r="H197" s="141" t="s">
        <v>765</v>
      </c>
    </row>
    <row r="198" spans="1:8" ht="15" customHeight="1" x14ac:dyDescent="0.2">
      <c r="A198" s="140">
        <v>597</v>
      </c>
      <c r="B198" s="141" t="s">
        <v>821</v>
      </c>
      <c r="D198" s="140">
        <v>357</v>
      </c>
      <c r="E198" s="141" t="s">
        <v>822</v>
      </c>
      <c r="G198" s="140">
        <v>534</v>
      </c>
      <c r="H198" s="141" t="s">
        <v>823</v>
      </c>
    </row>
    <row r="199" spans="1:8" ht="15" customHeight="1" x14ac:dyDescent="0.2">
      <c r="A199" s="140">
        <v>183</v>
      </c>
      <c r="B199" s="141" t="s">
        <v>824</v>
      </c>
      <c r="D199" s="140">
        <v>583</v>
      </c>
      <c r="E199" s="141" t="s">
        <v>825</v>
      </c>
      <c r="G199" s="142"/>
      <c r="H199" s="143"/>
    </row>
    <row r="200" spans="1:8" ht="15" customHeight="1" x14ac:dyDescent="0.2">
      <c r="A200" s="144">
        <v>184</v>
      </c>
      <c r="B200" s="145" t="s">
        <v>2438</v>
      </c>
      <c r="D200" s="144">
        <v>574</v>
      </c>
      <c r="E200" s="145" t="s">
        <v>825</v>
      </c>
      <c r="G200" s="146"/>
      <c r="H200" s="147"/>
    </row>
    <row r="201" spans="1:8" x14ac:dyDescent="0.2"/>
    <row r="202" spans="1:8" ht="15" customHeight="1" x14ac:dyDescent="0.2">
      <c r="A202" s="493" t="s">
        <v>3477</v>
      </c>
      <c r="B202" s="494"/>
      <c r="C202" s="495" t="s">
        <v>781</v>
      </c>
      <c r="D202" s="496"/>
      <c r="E202" s="497"/>
      <c r="F202" s="501" t="s">
        <v>2211</v>
      </c>
      <c r="G202" s="502"/>
      <c r="H202" s="503"/>
    </row>
    <row r="203" spans="1:8" ht="15" customHeight="1" x14ac:dyDescent="0.2">
      <c r="A203" s="148" t="s">
        <v>71</v>
      </c>
      <c r="B203" s="504" t="s">
        <v>2324</v>
      </c>
      <c r="C203" s="505"/>
      <c r="D203" s="505"/>
      <c r="E203" s="505"/>
      <c r="F203" s="505"/>
      <c r="G203" s="505"/>
      <c r="H203" s="505"/>
    </row>
    <row r="204" spans="1:8" ht="15" customHeight="1" x14ac:dyDescent="0.2">
      <c r="A204" s="300">
        <v>10</v>
      </c>
      <c r="B204" s="301" t="s">
        <v>1518</v>
      </c>
      <c r="C204" s="302"/>
      <c r="D204" s="302"/>
      <c r="E204" s="302"/>
      <c r="F204" s="302"/>
      <c r="G204" s="302"/>
      <c r="H204" s="303"/>
    </row>
    <row r="205" spans="1:8" ht="15" customHeight="1" x14ac:dyDescent="0.2">
      <c r="A205" s="304">
        <v>11</v>
      </c>
      <c r="B205" s="305" t="s">
        <v>3424</v>
      </c>
      <c r="C205" s="306"/>
      <c r="D205" s="306"/>
      <c r="E205" s="306"/>
      <c r="F205" s="306"/>
      <c r="G205" s="306"/>
      <c r="H205" s="307"/>
    </row>
    <row r="206" spans="1:8" ht="15" customHeight="1" x14ac:dyDescent="0.2">
      <c r="A206" s="304">
        <v>12</v>
      </c>
      <c r="B206" s="305" t="s">
        <v>3912</v>
      </c>
      <c r="C206" s="306"/>
      <c r="D206" s="306"/>
      <c r="E206" s="306"/>
      <c r="F206" s="306"/>
      <c r="G206" s="306"/>
      <c r="H206" s="307"/>
    </row>
    <row r="207" spans="1:8" ht="15" customHeight="1" x14ac:dyDescent="0.2">
      <c r="A207" s="304">
        <v>13</v>
      </c>
      <c r="B207" s="305" t="s">
        <v>935</v>
      </c>
      <c r="C207" s="306"/>
      <c r="D207" s="306"/>
      <c r="E207" s="306"/>
      <c r="F207" s="306"/>
      <c r="G207" s="306"/>
      <c r="H207" s="307"/>
    </row>
    <row r="208" spans="1:8" ht="15" customHeight="1" x14ac:dyDescent="0.2">
      <c r="A208" s="304">
        <v>15</v>
      </c>
      <c r="B208" s="305" t="s">
        <v>162</v>
      </c>
      <c r="C208" s="306"/>
      <c r="D208" s="306"/>
      <c r="E208" s="306"/>
      <c r="F208" s="306"/>
      <c r="G208" s="306"/>
      <c r="H208" s="307"/>
    </row>
    <row r="209" spans="1:8" ht="15" customHeight="1" x14ac:dyDescent="0.2">
      <c r="A209" s="304">
        <v>17</v>
      </c>
      <c r="B209" s="305" t="s">
        <v>123</v>
      </c>
      <c r="C209" s="306"/>
      <c r="D209" s="306"/>
      <c r="E209" s="306"/>
      <c r="F209" s="306"/>
      <c r="G209" s="306"/>
      <c r="H209" s="307"/>
    </row>
    <row r="210" spans="1:8" ht="15" customHeight="1" x14ac:dyDescent="0.2">
      <c r="A210" s="304">
        <v>18</v>
      </c>
      <c r="B210" s="305" t="s">
        <v>1217</v>
      </c>
      <c r="C210" s="306"/>
      <c r="D210" s="306"/>
      <c r="E210" s="306"/>
      <c r="F210" s="306"/>
      <c r="G210" s="306"/>
      <c r="H210" s="307"/>
    </row>
    <row r="211" spans="1:8" ht="15" customHeight="1" x14ac:dyDescent="0.2">
      <c r="A211" s="304">
        <v>20</v>
      </c>
      <c r="B211" s="305" t="s">
        <v>124</v>
      </c>
      <c r="C211" s="306"/>
      <c r="D211" s="306"/>
      <c r="E211" s="306"/>
      <c r="F211" s="306"/>
      <c r="G211" s="306"/>
      <c r="H211" s="307"/>
    </row>
    <row r="212" spans="1:8" ht="15" customHeight="1" x14ac:dyDescent="0.2">
      <c r="A212" s="304">
        <v>25</v>
      </c>
      <c r="B212" s="305" t="s">
        <v>125</v>
      </c>
      <c r="C212" s="306"/>
      <c r="D212" s="306"/>
      <c r="E212" s="306"/>
      <c r="F212" s="306"/>
      <c r="G212" s="306"/>
      <c r="H212" s="307"/>
    </row>
    <row r="213" spans="1:8" ht="15" customHeight="1" x14ac:dyDescent="0.2">
      <c r="A213" s="304">
        <v>27</v>
      </c>
      <c r="B213" s="305" t="s">
        <v>2430</v>
      </c>
      <c r="C213" s="306"/>
      <c r="D213" s="306"/>
      <c r="E213" s="306"/>
      <c r="F213" s="306"/>
      <c r="G213" s="306"/>
      <c r="H213" s="307"/>
    </row>
    <row r="214" spans="1:8" ht="15" customHeight="1" x14ac:dyDescent="0.2">
      <c r="A214" s="304">
        <v>28</v>
      </c>
      <c r="B214" s="305" t="s">
        <v>936</v>
      </c>
      <c r="C214" s="306"/>
      <c r="D214" s="306"/>
      <c r="E214" s="306"/>
      <c r="F214" s="306"/>
      <c r="G214" s="306"/>
      <c r="H214" s="307"/>
    </row>
    <row r="215" spans="1:8" ht="15" customHeight="1" x14ac:dyDescent="0.2">
      <c r="A215" s="304">
        <v>30</v>
      </c>
      <c r="B215" s="305" t="s">
        <v>1218</v>
      </c>
      <c r="C215" s="306"/>
      <c r="D215" s="306"/>
      <c r="E215" s="306"/>
      <c r="F215" s="306"/>
      <c r="G215" s="306"/>
      <c r="H215" s="307"/>
    </row>
    <row r="216" spans="1:8" ht="15" customHeight="1" x14ac:dyDescent="0.2">
      <c r="A216" s="304">
        <v>32</v>
      </c>
      <c r="B216" s="305" t="s">
        <v>937</v>
      </c>
      <c r="C216" s="306"/>
      <c r="D216" s="306"/>
      <c r="E216" s="306"/>
      <c r="F216" s="306"/>
      <c r="G216" s="306"/>
      <c r="H216" s="307"/>
    </row>
    <row r="217" spans="1:8" ht="15" customHeight="1" x14ac:dyDescent="0.2">
      <c r="A217" s="304">
        <v>33</v>
      </c>
      <c r="B217" s="305" t="s">
        <v>826</v>
      </c>
      <c r="C217" s="306"/>
      <c r="D217" s="306"/>
      <c r="E217" s="306"/>
      <c r="F217" s="306"/>
      <c r="G217" s="306"/>
      <c r="H217" s="307"/>
    </row>
    <row r="218" spans="1:8" ht="15" customHeight="1" x14ac:dyDescent="0.2">
      <c r="A218" s="304">
        <v>34</v>
      </c>
      <c r="B218" s="305" t="s">
        <v>1986</v>
      </c>
      <c r="C218" s="306"/>
      <c r="D218" s="306"/>
      <c r="E218" s="306"/>
      <c r="F218" s="306"/>
      <c r="G218" s="306"/>
      <c r="H218" s="307"/>
    </row>
    <row r="219" spans="1:8" ht="15" customHeight="1" x14ac:dyDescent="0.2">
      <c r="A219" s="304">
        <v>37</v>
      </c>
      <c r="B219" s="305" t="s">
        <v>827</v>
      </c>
      <c r="C219" s="306"/>
      <c r="D219" s="306"/>
      <c r="E219" s="306"/>
      <c r="F219" s="306"/>
      <c r="G219" s="306"/>
      <c r="H219" s="307"/>
    </row>
    <row r="220" spans="1:8" ht="15" customHeight="1" x14ac:dyDescent="0.2">
      <c r="A220" s="304">
        <v>39</v>
      </c>
      <c r="B220" s="305" t="s">
        <v>3098</v>
      </c>
      <c r="C220" s="306"/>
      <c r="D220" s="306"/>
      <c r="E220" s="306"/>
      <c r="F220" s="306"/>
      <c r="G220" s="306"/>
      <c r="H220" s="307"/>
    </row>
    <row r="221" spans="1:8" ht="15" customHeight="1" x14ac:dyDescent="0.2">
      <c r="A221" s="304">
        <v>40</v>
      </c>
      <c r="B221" s="305" t="s">
        <v>2904</v>
      </c>
      <c r="C221" s="306"/>
      <c r="D221" s="306"/>
      <c r="E221" s="306"/>
      <c r="F221" s="306"/>
      <c r="G221" s="306"/>
      <c r="H221" s="307"/>
    </row>
    <row r="222" spans="1:8" ht="15" customHeight="1" x14ac:dyDescent="0.2">
      <c r="A222" s="304">
        <v>41</v>
      </c>
      <c r="B222" s="305" t="s">
        <v>1987</v>
      </c>
      <c r="C222" s="306"/>
      <c r="D222" s="306"/>
      <c r="E222" s="306"/>
      <c r="F222" s="306"/>
      <c r="G222" s="306"/>
      <c r="H222" s="307"/>
    </row>
    <row r="223" spans="1:8" ht="15" customHeight="1" x14ac:dyDescent="0.2">
      <c r="A223" s="304">
        <v>48</v>
      </c>
      <c r="B223" s="305" t="s">
        <v>174</v>
      </c>
      <c r="C223" s="306"/>
      <c r="D223" s="306"/>
      <c r="E223" s="306"/>
      <c r="F223" s="306"/>
      <c r="G223" s="306"/>
      <c r="H223" s="307"/>
    </row>
    <row r="224" spans="1:8" ht="15" customHeight="1" x14ac:dyDescent="0.2">
      <c r="A224" s="304">
        <v>52</v>
      </c>
      <c r="B224" s="305" t="s">
        <v>3913</v>
      </c>
      <c r="C224" s="306"/>
      <c r="D224" s="306"/>
      <c r="E224" s="306"/>
      <c r="F224" s="306"/>
      <c r="G224" s="306"/>
      <c r="H224" s="308"/>
    </row>
    <row r="225" spans="1:8" ht="15" customHeight="1" x14ac:dyDescent="0.2">
      <c r="A225" s="304">
        <v>55</v>
      </c>
      <c r="B225" s="305" t="s">
        <v>828</v>
      </c>
      <c r="C225" s="306"/>
      <c r="D225" s="306"/>
      <c r="E225" s="306"/>
      <c r="F225" s="306"/>
      <c r="G225" s="306"/>
      <c r="H225" s="307"/>
    </row>
    <row r="226" spans="1:8" ht="15" customHeight="1" x14ac:dyDescent="0.2">
      <c r="A226" s="304">
        <v>60</v>
      </c>
      <c r="B226" s="305" t="s">
        <v>639</v>
      </c>
      <c r="C226" s="306"/>
      <c r="D226" s="306"/>
      <c r="E226" s="306"/>
      <c r="F226" s="306"/>
      <c r="G226" s="306"/>
      <c r="H226" s="308"/>
    </row>
    <row r="227" spans="1:8" ht="15" customHeight="1" x14ac:dyDescent="0.2">
      <c r="A227" s="304">
        <v>61</v>
      </c>
      <c r="B227" s="305" t="s">
        <v>640</v>
      </c>
      <c r="C227" s="306"/>
      <c r="D227" s="306"/>
      <c r="E227" s="306"/>
      <c r="F227" s="306"/>
      <c r="G227" s="306"/>
      <c r="H227" s="307"/>
    </row>
    <row r="228" spans="1:8" ht="15" customHeight="1" x14ac:dyDescent="0.2">
      <c r="A228" s="304">
        <v>65</v>
      </c>
      <c r="B228" s="305" t="s">
        <v>1990</v>
      </c>
      <c r="C228" s="306"/>
      <c r="D228" s="306"/>
      <c r="E228" s="306"/>
      <c r="F228" s="306"/>
      <c r="G228" s="306"/>
      <c r="H228" s="307"/>
    </row>
    <row r="229" spans="1:8" ht="15" customHeight="1" x14ac:dyDescent="0.2">
      <c r="A229" s="304">
        <v>76</v>
      </c>
      <c r="B229" s="305" t="s">
        <v>829</v>
      </c>
      <c r="C229" s="306"/>
      <c r="D229" s="306"/>
      <c r="E229" s="306"/>
      <c r="F229" s="306"/>
      <c r="G229" s="306"/>
      <c r="H229" s="307"/>
    </row>
    <row r="230" spans="1:8" ht="15" customHeight="1" x14ac:dyDescent="0.2">
      <c r="A230" s="304">
        <v>77</v>
      </c>
      <c r="B230" s="305" t="s">
        <v>830</v>
      </c>
      <c r="C230" s="306"/>
      <c r="D230" s="306"/>
      <c r="E230" s="306"/>
      <c r="F230" s="306"/>
      <c r="G230" s="306"/>
      <c r="H230" s="307"/>
    </row>
    <row r="231" spans="1:8" ht="15" customHeight="1" x14ac:dyDescent="0.2">
      <c r="A231" s="304">
        <v>80</v>
      </c>
      <c r="B231" s="305" t="s">
        <v>1991</v>
      </c>
      <c r="C231" s="306"/>
      <c r="D231" s="306"/>
      <c r="E231" s="306"/>
      <c r="F231" s="306"/>
      <c r="G231" s="306"/>
      <c r="H231" s="307"/>
    </row>
    <row r="232" spans="1:8" ht="15" customHeight="1" x14ac:dyDescent="0.2">
      <c r="A232" s="304">
        <v>86</v>
      </c>
      <c r="B232" s="305" t="s">
        <v>831</v>
      </c>
      <c r="C232" s="306"/>
      <c r="D232" s="306"/>
      <c r="E232" s="306"/>
      <c r="F232" s="306"/>
      <c r="G232" s="306"/>
      <c r="H232" s="307"/>
    </row>
    <row r="233" spans="1:8" ht="15" customHeight="1" x14ac:dyDescent="0.2">
      <c r="A233" s="304">
        <v>90</v>
      </c>
      <c r="B233" s="305" t="s">
        <v>832</v>
      </c>
      <c r="C233" s="306"/>
      <c r="D233" s="306"/>
      <c r="E233" s="306"/>
      <c r="F233" s="306"/>
      <c r="G233" s="306"/>
      <c r="H233" s="307"/>
    </row>
    <row r="234" spans="1:8" ht="15" customHeight="1" x14ac:dyDescent="0.2">
      <c r="A234" s="304">
        <v>96</v>
      </c>
      <c r="B234" s="305" t="s">
        <v>1992</v>
      </c>
      <c r="C234" s="306"/>
      <c r="D234" s="306"/>
      <c r="E234" s="306"/>
      <c r="F234" s="306"/>
      <c r="G234" s="306"/>
      <c r="H234" s="307"/>
    </row>
    <row r="235" spans="1:8" ht="15" customHeight="1" x14ac:dyDescent="0.2">
      <c r="A235" s="304">
        <v>106</v>
      </c>
      <c r="B235" s="305" t="s">
        <v>3520</v>
      </c>
      <c r="C235" s="306"/>
      <c r="D235" s="306"/>
      <c r="E235" s="306"/>
      <c r="F235" s="306"/>
      <c r="G235" s="306"/>
      <c r="H235" s="307"/>
    </row>
    <row r="236" spans="1:8" ht="15" customHeight="1" x14ac:dyDescent="0.2">
      <c r="A236" s="304">
        <v>109</v>
      </c>
      <c r="B236" s="305" t="s">
        <v>833</v>
      </c>
      <c r="C236" s="306"/>
      <c r="D236" s="306"/>
      <c r="E236" s="306"/>
      <c r="F236" s="306"/>
      <c r="G236" s="306"/>
      <c r="H236" s="308"/>
    </row>
    <row r="237" spans="1:8" ht="15" customHeight="1" x14ac:dyDescent="0.2">
      <c r="A237" s="304">
        <v>120</v>
      </c>
      <c r="B237" s="305" t="s">
        <v>3521</v>
      </c>
      <c r="C237" s="306"/>
      <c r="D237" s="306"/>
      <c r="E237" s="306"/>
      <c r="F237" s="306"/>
      <c r="G237" s="306"/>
      <c r="H237" s="307"/>
    </row>
    <row r="238" spans="1:8" ht="15" customHeight="1" x14ac:dyDescent="0.2">
      <c r="A238" s="304">
        <v>121</v>
      </c>
      <c r="B238" s="305" t="s">
        <v>175</v>
      </c>
      <c r="C238" s="306"/>
      <c r="D238" s="306"/>
      <c r="E238" s="306"/>
      <c r="F238" s="306"/>
      <c r="G238" s="306"/>
      <c r="H238" s="308"/>
    </row>
    <row r="239" spans="1:8" ht="15" customHeight="1" x14ac:dyDescent="0.2">
      <c r="A239" s="304">
        <v>122</v>
      </c>
      <c r="B239" s="305" t="s">
        <v>3238</v>
      </c>
      <c r="C239" s="306"/>
      <c r="D239" s="306"/>
      <c r="E239" s="306"/>
      <c r="F239" s="306"/>
      <c r="G239" s="306"/>
      <c r="H239" s="307"/>
    </row>
    <row r="240" spans="1:8" ht="15" customHeight="1" x14ac:dyDescent="0.2">
      <c r="A240" s="304">
        <v>123</v>
      </c>
      <c r="B240" s="305" t="s">
        <v>176</v>
      </c>
      <c r="C240" s="306"/>
      <c r="D240" s="306"/>
      <c r="E240" s="306"/>
      <c r="F240" s="306"/>
      <c r="G240" s="306"/>
      <c r="H240" s="307"/>
    </row>
    <row r="241" spans="1:8" ht="15" customHeight="1" x14ac:dyDescent="0.2">
      <c r="A241" s="304">
        <v>160</v>
      </c>
      <c r="B241" s="305" t="s">
        <v>3835</v>
      </c>
      <c r="C241" s="306"/>
      <c r="D241" s="306"/>
      <c r="E241" s="306"/>
      <c r="F241" s="306"/>
      <c r="G241" s="306"/>
      <c r="H241" s="308"/>
    </row>
    <row r="242" spans="1:8" ht="15" customHeight="1" x14ac:dyDescent="0.2">
      <c r="A242" s="304">
        <v>185</v>
      </c>
      <c r="B242" s="305" t="s">
        <v>70</v>
      </c>
      <c r="C242" s="306"/>
      <c r="D242" s="306"/>
      <c r="E242" s="306"/>
      <c r="F242" s="306"/>
      <c r="G242" s="306"/>
      <c r="H242" s="307"/>
    </row>
    <row r="243" spans="1:8" ht="15" customHeight="1" x14ac:dyDescent="0.2">
      <c r="A243" s="304">
        <v>196</v>
      </c>
      <c r="B243" s="305" t="s">
        <v>3365</v>
      </c>
      <c r="C243" s="306"/>
      <c r="D243" s="306"/>
      <c r="E243" s="306"/>
      <c r="F243" s="306"/>
      <c r="G243" s="306"/>
      <c r="H243" s="307"/>
    </row>
    <row r="244" spans="1:8" ht="15" customHeight="1" x14ac:dyDescent="0.2">
      <c r="A244" s="304">
        <v>225</v>
      </c>
      <c r="B244" s="305" t="s">
        <v>3425</v>
      </c>
      <c r="C244" s="306"/>
      <c r="D244" s="306"/>
      <c r="E244" s="306"/>
      <c r="F244" s="306"/>
      <c r="G244" s="306"/>
      <c r="H244" s="307"/>
    </row>
    <row r="245" spans="1:8" ht="15" customHeight="1" x14ac:dyDescent="0.2">
      <c r="A245" s="304">
        <v>240</v>
      </c>
      <c r="B245" s="305" t="s">
        <v>3220</v>
      </c>
      <c r="C245" s="306"/>
      <c r="D245" s="306"/>
      <c r="E245" s="306"/>
      <c r="F245" s="306"/>
      <c r="G245" s="306"/>
      <c r="H245" s="307"/>
    </row>
    <row r="246" spans="1:8" ht="15" customHeight="1" x14ac:dyDescent="0.2">
      <c r="A246" s="304">
        <v>241</v>
      </c>
      <c r="B246" s="305" t="s">
        <v>177</v>
      </c>
      <c r="C246" s="306"/>
      <c r="D246" s="306"/>
      <c r="E246" s="306"/>
      <c r="F246" s="306"/>
      <c r="G246" s="306"/>
      <c r="H246" s="307"/>
    </row>
    <row r="247" spans="1:8" ht="15" customHeight="1" x14ac:dyDescent="0.2">
      <c r="A247" s="304">
        <v>242</v>
      </c>
      <c r="B247" s="305" t="s">
        <v>3923</v>
      </c>
      <c r="C247" s="306"/>
      <c r="D247" s="306"/>
      <c r="E247" s="306"/>
      <c r="F247" s="306"/>
      <c r="G247" s="306"/>
      <c r="H247" s="307"/>
    </row>
    <row r="248" spans="1:8" ht="15" customHeight="1" x14ac:dyDescent="0.2">
      <c r="A248" s="304">
        <v>250</v>
      </c>
      <c r="B248" s="305" t="s">
        <v>4299</v>
      </c>
      <c r="C248" s="306"/>
      <c r="D248" s="306"/>
      <c r="E248" s="306"/>
      <c r="F248" s="306"/>
      <c r="G248" s="306"/>
      <c r="H248" s="307"/>
    </row>
    <row r="249" spans="1:8" ht="15" customHeight="1" x14ac:dyDescent="0.2">
      <c r="A249" s="309">
        <v>258</v>
      </c>
      <c r="B249" s="310" t="s">
        <v>3366</v>
      </c>
      <c r="C249" s="311"/>
      <c r="D249" s="311"/>
      <c r="E249" s="311"/>
      <c r="F249" s="311"/>
      <c r="G249" s="311"/>
      <c r="H249" s="312"/>
    </row>
    <row r="250" spans="1:8" x14ac:dyDescent="0.2"/>
    <row r="251" spans="1:8" ht="15" customHeight="1" x14ac:dyDescent="0.2">
      <c r="A251" s="493" t="s">
        <v>2255</v>
      </c>
      <c r="B251" s="494"/>
      <c r="C251" s="495" t="s">
        <v>781</v>
      </c>
      <c r="D251" s="496"/>
      <c r="E251" s="497"/>
      <c r="F251" s="495" t="s">
        <v>2211</v>
      </c>
      <c r="G251" s="496"/>
      <c r="H251" s="497"/>
    </row>
    <row r="252" spans="1:8" ht="15" customHeight="1" x14ac:dyDescent="0.2">
      <c r="A252" s="149" t="s">
        <v>1453</v>
      </c>
      <c r="B252" s="498" t="s">
        <v>2254</v>
      </c>
      <c r="C252" s="499"/>
      <c r="D252" s="499"/>
      <c r="E252" s="499"/>
      <c r="F252" s="499"/>
      <c r="G252" s="499"/>
      <c r="H252" s="500"/>
    </row>
    <row r="253" spans="1:8" x14ac:dyDescent="0.2">
      <c r="A253" s="150">
        <v>111</v>
      </c>
      <c r="B253" s="491" t="s">
        <v>2439</v>
      </c>
      <c r="C253" s="491"/>
      <c r="D253" s="491"/>
      <c r="E253" s="491"/>
      <c r="F253" s="491"/>
      <c r="G253" s="491"/>
      <c r="H253" s="492"/>
    </row>
    <row r="254" spans="1:8" x14ac:dyDescent="0.2">
      <c r="A254" s="151">
        <v>112</v>
      </c>
      <c r="B254" s="487" t="s">
        <v>2440</v>
      </c>
      <c r="C254" s="487"/>
      <c r="D254" s="487"/>
      <c r="E254" s="487"/>
      <c r="F254" s="487"/>
      <c r="G254" s="487"/>
      <c r="H254" s="488"/>
    </row>
    <row r="255" spans="1:8" x14ac:dyDescent="0.2">
      <c r="A255" s="151">
        <v>113</v>
      </c>
      <c r="B255" s="487" t="s">
        <v>2441</v>
      </c>
      <c r="C255" s="487"/>
      <c r="D255" s="487"/>
      <c r="E255" s="487"/>
      <c r="F255" s="487"/>
      <c r="G255" s="487"/>
      <c r="H255" s="488"/>
    </row>
    <row r="256" spans="1:8" x14ac:dyDescent="0.2">
      <c r="A256" s="151">
        <v>114</v>
      </c>
      <c r="B256" s="487" t="s">
        <v>2442</v>
      </c>
      <c r="C256" s="487"/>
      <c r="D256" s="487"/>
      <c r="E256" s="487"/>
      <c r="F256" s="487"/>
      <c r="G256" s="487"/>
      <c r="H256" s="488"/>
    </row>
    <row r="257" spans="1:8" x14ac:dyDescent="0.2">
      <c r="A257" s="151">
        <v>115</v>
      </c>
      <c r="B257" s="487" t="s">
        <v>2443</v>
      </c>
      <c r="C257" s="487"/>
      <c r="D257" s="487"/>
      <c r="E257" s="487"/>
      <c r="F257" s="487"/>
      <c r="G257" s="487"/>
      <c r="H257" s="488"/>
    </row>
    <row r="258" spans="1:8" x14ac:dyDescent="0.2">
      <c r="A258" s="151">
        <v>116</v>
      </c>
      <c r="B258" s="487" t="s">
        <v>2444</v>
      </c>
      <c r="C258" s="487"/>
      <c r="D258" s="487"/>
      <c r="E258" s="487"/>
      <c r="F258" s="487"/>
      <c r="G258" s="487"/>
      <c r="H258" s="488"/>
    </row>
    <row r="259" spans="1:8" x14ac:dyDescent="0.2">
      <c r="A259" s="151">
        <v>119</v>
      </c>
      <c r="B259" s="487" t="s">
        <v>3099</v>
      </c>
      <c r="C259" s="487"/>
      <c r="D259" s="487"/>
      <c r="E259" s="487"/>
      <c r="F259" s="487"/>
      <c r="G259" s="487"/>
      <c r="H259" s="488"/>
    </row>
    <row r="260" spans="1:8" x14ac:dyDescent="0.2">
      <c r="A260" s="151">
        <v>121</v>
      </c>
      <c r="B260" s="487" t="s">
        <v>1482</v>
      </c>
      <c r="C260" s="487"/>
      <c r="D260" s="487"/>
      <c r="E260" s="487"/>
      <c r="F260" s="487"/>
      <c r="G260" s="487"/>
      <c r="H260" s="488"/>
    </row>
    <row r="261" spans="1:8" x14ac:dyDescent="0.2">
      <c r="A261" s="151">
        <v>122</v>
      </c>
      <c r="B261" s="487" t="s">
        <v>3550</v>
      </c>
      <c r="C261" s="487"/>
      <c r="D261" s="487"/>
      <c r="E261" s="487"/>
      <c r="F261" s="487"/>
      <c r="G261" s="487"/>
      <c r="H261" s="488"/>
    </row>
    <row r="262" spans="1:8" x14ac:dyDescent="0.2">
      <c r="A262" s="151">
        <v>123</v>
      </c>
      <c r="B262" s="487" t="s">
        <v>3551</v>
      </c>
      <c r="C262" s="487"/>
      <c r="D262" s="487"/>
      <c r="E262" s="487"/>
      <c r="F262" s="487"/>
      <c r="G262" s="487"/>
      <c r="H262" s="488"/>
    </row>
    <row r="263" spans="1:8" x14ac:dyDescent="0.2">
      <c r="A263" s="151">
        <v>124</v>
      </c>
      <c r="B263" s="487" t="s">
        <v>3552</v>
      </c>
      <c r="C263" s="487"/>
      <c r="D263" s="487"/>
      <c r="E263" s="487"/>
      <c r="F263" s="487"/>
      <c r="G263" s="487"/>
      <c r="H263" s="488"/>
    </row>
    <row r="264" spans="1:8" x14ac:dyDescent="0.2">
      <c r="A264" s="151">
        <v>125</v>
      </c>
      <c r="B264" s="487" t="s">
        <v>3553</v>
      </c>
      <c r="C264" s="487"/>
      <c r="D264" s="487"/>
      <c r="E264" s="487"/>
      <c r="F264" s="487"/>
      <c r="G264" s="487"/>
      <c r="H264" s="488"/>
    </row>
    <row r="265" spans="1:8" x14ac:dyDescent="0.2">
      <c r="A265" s="151">
        <v>126</v>
      </c>
      <c r="B265" s="487" t="s">
        <v>976</v>
      </c>
      <c r="C265" s="487"/>
      <c r="D265" s="487"/>
      <c r="E265" s="487"/>
      <c r="F265" s="487"/>
      <c r="G265" s="487"/>
      <c r="H265" s="488"/>
    </row>
    <row r="266" spans="1:8" x14ac:dyDescent="0.2">
      <c r="A266" s="151">
        <v>127</v>
      </c>
      <c r="B266" s="487" t="s">
        <v>977</v>
      </c>
      <c r="C266" s="487"/>
      <c r="D266" s="487"/>
      <c r="E266" s="487"/>
      <c r="F266" s="487"/>
      <c r="G266" s="487"/>
      <c r="H266" s="488"/>
    </row>
    <row r="267" spans="1:8" x14ac:dyDescent="0.2">
      <c r="A267" s="151">
        <v>128</v>
      </c>
      <c r="B267" s="487" t="s">
        <v>978</v>
      </c>
      <c r="C267" s="487"/>
      <c r="D267" s="487"/>
      <c r="E267" s="487"/>
      <c r="F267" s="487"/>
      <c r="G267" s="487"/>
      <c r="H267" s="488"/>
    </row>
    <row r="268" spans="1:8" x14ac:dyDescent="0.2">
      <c r="A268" s="151">
        <v>129</v>
      </c>
      <c r="B268" s="487" t="s">
        <v>979</v>
      </c>
      <c r="C268" s="487"/>
      <c r="D268" s="487"/>
      <c r="E268" s="487"/>
      <c r="F268" s="487"/>
      <c r="G268" s="487"/>
      <c r="H268" s="488"/>
    </row>
    <row r="269" spans="1:8" x14ac:dyDescent="0.2">
      <c r="A269" s="151">
        <v>130</v>
      </c>
      <c r="B269" s="487" t="s">
        <v>980</v>
      </c>
      <c r="C269" s="487"/>
      <c r="D269" s="487"/>
      <c r="E269" s="487"/>
      <c r="F269" s="487"/>
      <c r="G269" s="487"/>
      <c r="H269" s="488"/>
    </row>
    <row r="270" spans="1:8" x14ac:dyDescent="0.2">
      <c r="A270" s="151">
        <v>141</v>
      </c>
      <c r="B270" s="487" t="s">
        <v>981</v>
      </c>
      <c r="C270" s="487"/>
      <c r="D270" s="487"/>
      <c r="E270" s="487"/>
      <c r="F270" s="487"/>
      <c r="G270" s="487"/>
      <c r="H270" s="488"/>
    </row>
    <row r="271" spans="1:8" x14ac:dyDescent="0.2">
      <c r="A271" s="151">
        <v>142</v>
      </c>
      <c r="B271" s="487" t="s">
        <v>982</v>
      </c>
      <c r="C271" s="487"/>
      <c r="D271" s="487"/>
      <c r="E271" s="487"/>
      <c r="F271" s="487"/>
      <c r="G271" s="487"/>
      <c r="H271" s="488"/>
    </row>
    <row r="272" spans="1:8" x14ac:dyDescent="0.2">
      <c r="A272" s="151">
        <v>143</v>
      </c>
      <c r="B272" s="487" t="s">
        <v>2013</v>
      </c>
      <c r="C272" s="487"/>
      <c r="D272" s="487"/>
      <c r="E272" s="487"/>
      <c r="F272" s="487"/>
      <c r="G272" s="487"/>
      <c r="H272" s="488"/>
    </row>
    <row r="273" spans="1:8" x14ac:dyDescent="0.2">
      <c r="A273" s="151">
        <v>144</v>
      </c>
      <c r="B273" s="487" t="s">
        <v>3039</v>
      </c>
      <c r="C273" s="487"/>
      <c r="D273" s="487"/>
      <c r="E273" s="487"/>
      <c r="F273" s="487"/>
      <c r="G273" s="487"/>
      <c r="H273" s="488"/>
    </row>
    <row r="274" spans="1:8" x14ac:dyDescent="0.2">
      <c r="A274" s="151">
        <v>145</v>
      </c>
      <c r="B274" s="487" t="s">
        <v>2012</v>
      </c>
      <c r="C274" s="487"/>
      <c r="D274" s="487"/>
      <c r="E274" s="487"/>
      <c r="F274" s="487"/>
      <c r="G274" s="487"/>
      <c r="H274" s="488"/>
    </row>
    <row r="275" spans="1:8" x14ac:dyDescent="0.2">
      <c r="A275" s="151">
        <v>146</v>
      </c>
      <c r="B275" s="487" t="s">
        <v>2014</v>
      </c>
      <c r="C275" s="487"/>
      <c r="D275" s="487"/>
      <c r="E275" s="487"/>
      <c r="F275" s="487"/>
      <c r="G275" s="487"/>
      <c r="H275" s="488"/>
    </row>
    <row r="276" spans="1:8" x14ac:dyDescent="0.2">
      <c r="A276" s="151">
        <v>147</v>
      </c>
      <c r="B276" s="487" t="s">
        <v>2015</v>
      </c>
      <c r="C276" s="487"/>
      <c r="D276" s="487"/>
      <c r="E276" s="487"/>
      <c r="F276" s="487"/>
      <c r="G276" s="487"/>
      <c r="H276" s="488"/>
    </row>
    <row r="277" spans="1:8" x14ac:dyDescent="0.2">
      <c r="A277" s="151">
        <v>149</v>
      </c>
      <c r="B277" s="487" t="s">
        <v>3100</v>
      </c>
      <c r="C277" s="487"/>
      <c r="D277" s="487"/>
      <c r="E277" s="487"/>
      <c r="F277" s="487"/>
      <c r="G277" s="487"/>
      <c r="H277" s="488"/>
    </row>
    <row r="278" spans="1:8" x14ac:dyDescent="0.2">
      <c r="A278" s="151">
        <v>150</v>
      </c>
      <c r="B278" s="487" t="s">
        <v>3040</v>
      </c>
      <c r="C278" s="487"/>
      <c r="D278" s="487"/>
      <c r="E278" s="487"/>
      <c r="F278" s="487"/>
      <c r="G278" s="487"/>
      <c r="H278" s="488"/>
    </row>
    <row r="279" spans="1:8" x14ac:dyDescent="0.2">
      <c r="A279" s="151">
        <v>161</v>
      </c>
      <c r="B279" s="487" t="s">
        <v>3041</v>
      </c>
      <c r="C279" s="487"/>
      <c r="D279" s="487"/>
      <c r="E279" s="487"/>
      <c r="F279" s="487"/>
      <c r="G279" s="487"/>
      <c r="H279" s="488"/>
    </row>
    <row r="280" spans="1:8" x14ac:dyDescent="0.2">
      <c r="A280" s="151">
        <v>162</v>
      </c>
      <c r="B280" s="487" t="s">
        <v>3092</v>
      </c>
      <c r="C280" s="487"/>
      <c r="D280" s="487"/>
      <c r="E280" s="487"/>
      <c r="F280" s="487"/>
      <c r="G280" s="487"/>
      <c r="H280" s="488"/>
    </row>
    <row r="281" spans="1:8" x14ac:dyDescent="0.2">
      <c r="A281" s="151">
        <v>163</v>
      </c>
      <c r="B281" s="487" t="s">
        <v>2748</v>
      </c>
      <c r="C281" s="487"/>
      <c r="D281" s="487"/>
      <c r="E281" s="487"/>
      <c r="F281" s="487"/>
      <c r="G281" s="487"/>
      <c r="H281" s="488"/>
    </row>
    <row r="282" spans="1:8" x14ac:dyDescent="0.2">
      <c r="A282" s="151">
        <v>164</v>
      </c>
      <c r="B282" s="487" t="s">
        <v>2749</v>
      </c>
      <c r="C282" s="487"/>
      <c r="D282" s="487"/>
      <c r="E282" s="487"/>
      <c r="F282" s="487"/>
      <c r="G282" s="487"/>
      <c r="H282" s="488"/>
    </row>
    <row r="283" spans="1:8" x14ac:dyDescent="0.2">
      <c r="A283" s="151">
        <v>170</v>
      </c>
      <c r="B283" s="487" t="s">
        <v>2750</v>
      </c>
      <c r="C283" s="487"/>
      <c r="D283" s="487"/>
      <c r="E283" s="487"/>
      <c r="F283" s="487"/>
      <c r="G283" s="487"/>
      <c r="H283" s="488"/>
    </row>
    <row r="284" spans="1:8" x14ac:dyDescent="0.2">
      <c r="A284" s="151">
        <v>210</v>
      </c>
      <c r="B284" s="487" t="s">
        <v>3701</v>
      </c>
      <c r="C284" s="487"/>
      <c r="D284" s="487"/>
      <c r="E284" s="487"/>
      <c r="F284" s="487"/>
      <c r="G284" s="487"/>
      <c r="H284" s="488"/>
    </row>
    <row r="285" spans="1:8" x14ac:dyDescent="0.2">
      <c r="A285" s="151">
        <v>220</v>
      </c>
      <c r="B285" s="487" t="s">
        <v>3702</v>
      </c>
      <c r="C285" s="487"/>
      <c r="D285" s="487"/>
      <c r="E285" s="487"/>
      <c r="F285" s="487"/>
      <c r="G285" s="487"/>
      <c r="H285" s="488"/>
    </row>
    <row r="286" spans="1:8" x14ac:dyDescent="0.2">
      <c r="A286" s="151">
        <v>230</v>
      </c>
      <c r="B286" s="487" t="s">
        <v>757</v>
      </c>
      <c r="C286" s="487"/>
      <c r="D286" s="487"/>
      <c r="E286" s="487"/>
      <c r="F286" s="487"/>
      <c r="G286" s="487"/>
      <c r="H286" s="488"/>
    </row>
    <row r="287" spans="1:8" x14ac:dyDescent="0.2">
      <c r="A287" s="151">
        <v>240</v>
      </c>
      <c r="B287" s="487" t="s">
        <v>758</v>
      </c>
      <c r="C287" s="487"/>
      <c r="D287" s="487"/>
      <c r="E287" s="487"/>
      <c r="F287" s="487"/>
      <c r="G287" s="487"/>
      <c r="H287" s="488"/>
    </row>
    <row r="288" spans="1:8" x14ac:dyDescent="0.2">
      <c r="A288" s="151">
        <v>311</v>
      </c>
      <c r="B288" s="487" t="s">
        <v>759</v>
      </c>
      <c r="C288" s="487"/>
      <c r="D288" s="487"/>
      <c r="E288" s="487"/>
      <c r="F288" s="487"/>
      <c r="G288" s="487"/>
      <c r="H288" s="488"/>
    </row>
    <row r="289" spans="1:8" x14ac:dyDescent="0.2">
      <c r="A289" s="151">
        <v>312</v>
      </c>
      <c r="B289" s="487" t="s">
        <v>3101</v>
      </c>
      <c r="C289" s="487"/>
      <c r="D289" s="487"/>
      <c r="E289" s="487"/>
      <c r="F289" s="487"/>
      <c r="G289" s="487"/>
      <c r="H289" s="488"/>
    </row>
    <row r="290" spans="1:8" x14ac:dyDescent="0.2">
      <c r="A290" s="151">
        <v>321</v>
      </c>
      <c r="B290" s="487" t="s">
        <v>760</v>
      </c>
      <c r="C290" s="487"/>
      <c r="D290" s="487"/>
      <c r="E290" s="487"/>
      <c r="F290" s="487"/>
      <c r="G290" s="487"/>
      <c r="H290" s="488"/>
    </row>
    <row r="291" spans="1:8" x14ac:dyDescent="0.2">
      <c r="A291" s="151">
        <v>322</v>
      </c>
      <c r="B291" s="487" t="s">
        <v>761</v>
      </c>
      <c r="C291" s="487"/>
      <c r="D291" s="487"/>
      <c r="E291" s="487"/>
      <c r="F291" s="487"/>
      <c r="G291" s="487"/>
      <c r="H291" s="488"/>
    </row>
    <row r="292" spans="1:8" x14ac:dyDescent="0.2">
      <c r="A292" s="151">
        <v>510</v>
      </c>
      <c r="B292" s="487" t="s">
        <v>762</v>
      </c>
      <c r="C292" s="487"/>
      <c r="D292" s="487"/>
      <c r="E292" s="487"/>
      <c r="F292" s="487"/>
      <c r="G292" s="487"/>
      <c r="H292" s="488"/>
    </row>
    <row r="293" spans="1:8" x14ac:dyDescent="0.2">
      <c r="A293" s="151">
        <v>520</v>
      </c>
      <c r="B293" s="487" t="s">
        <v>3776</v>
      </c>
      <c r="C293" s="487"/>
      <c r="D293" s="487"/>
      <c r="E293" s="487"/>
      <c r="F293" s="487"/>
      <c r="G293" s="487"/>
      <c r="H293" s="488"/>
    </row>
    <row r="294" spans="1:8" x14ac:dyDescent="0.2">
      <c r="A294" s="151">
        <v>610</v>
      </c>
      <c r="B294" s="487" t="s">
        <v>3777</v>
      </c>
      <c r="C294" s="487"/>
      <c r="D294" s="487"/>
      <c r="E294" s="487"/>
      <c r="F294" s="487"/>
      <c r="G294" s="487"/>
      <c r="H294" s="488"/>
    </row>
    <row r="295" spans="1:8" x14ac:dyDescent="0.2">
      <c r="A295" s="151">
        <v>620</v>
      </c>
      <c r="B295" s="487" t="s">
        <v>3778</v>
      </c>
      <c r="C295" s="487"/>
      <c r="D295" s="487"/>
      <c r="E295" s="487"/>
      <c r="F295" s="487"/>
      <c r="G295" s="487"/>
      <c r="H295" s="488"/>
    </row>
    <row r="296" spans="1:8" x14ac:dyDescent="0.2">
      <c r="A296" s="151">
        <v>710</v>
      </c>
      <c r="B296" s="487" t="s">
        <v>3779</v>
      </c>
      <c r="C296" s="487"/>
      <c r="D296" s="487"/>
      <c r="E296" s="487"/>
      <c r="F296" s="487"/>
      <c r="G296" s="487"/>
      <c r="H296" s="488"/>
    </row>
    <row r="297" spans="1:8" x14ac:dyDescent="0.2">
      <c r="A297" s="151">
        <v>721</v>
      </c>
      <c r="B297" s="487" t="s">
        <v>3780</v>
      </c>
      <c r="C297" s="487"/>
      <c r="D297" s="487"/>
      <c r="E297" s="487"/>
      <c r="F297" s="487"/>
      <c r="G297" s="487"/>
      <c r="H297" s="488"/>
    </row>
    <row r="298" spans="1:8" x14ac:dyDescent="0.2">
      <c r="A298" s="151">
        <v>729</v>
      </c>
      <c r="B298" s="487" t="s">
        <v>3781</v>
      </c>
      <c r="C298" s="487"/>
      <c r="D298" s="487"/>
      <c r="E298" s="487"/>
      <c r="F298" s="487"/>
      <c r="G298" s="487"/>
      <c r="H298" s="488"/>
    </row>
    <row r="299" spans="1:8" x14ac:dyDescent="0.2">
      <c r="A299" s="151">
        <v>811</v>
      </c>
      <c r="B299" s="487" t="s">
        <v>3782</v>
      </c>
      <c r="C299" s="487"/>
      <c r="D299" s="487"/>
      <c r="E299" s="487"/>
      <c r="F299" s="487"/>
      <c r="G299" s="487"/>
      <c r="H299" s="488"/>
    </row>
    <row r="300" spans="1:8" x14ac:dyDescent="0.2">
      <c r="A300" s="151">
        <v>812</v>
      </c>
      <c r="B300" s="487" t="s">
        <v>3783</v>
      </c>
      <c r="C300" s="487"/>
      <c r="D300" s="487"/>
      <c r="E300" s="487"/>
      <c r="F300" s="487"/>
      <c r="G300" s="487"/>
      <c r="H300" s="488"/>
    </row>
    <row r="301" spans="1:8" x14ac:dyDescent="0.2">
      <c r="A301" s="151">
        <v>891</v>
      </c>
      <c r="B301" s="487" t="s">
        <v>3784</v>
      </c>
      <c r="C301" s="487"/>
      <c r="D301" s="487"/>
      <c r="E301" s="487"/>
      <c r="F301" s="487"/>
      <c r="G301" s="487"/>
      <c r="H301" s="488"/>
    </row>
    <row r="302" spans="1:8" x14ac:dyDescent="0.2">
      <c r="A302" s="151">
        <v>892</v>
      </c>
      <c r="B302" s="487" t="s">
        <v>3836</v>
      </c>
      <c r="C302" s="487"/>
      <c r="D302" s="487"/>
      <c r="E302" s="487"/>
      <c r="F302" s="487"/>
      <c r="G302" s="487"/>
      <c r="H302" s="488"/>
    </row>
    <row r="303" spans="1:8" x14ac:dyDescent="0.2">
      <c r="A303" s="151">
        <v>893</v>
      </c>
      <c r="B303" s="487" t="s">
        <v>2130</v>
      </c>
      <c r="C303" s="487"/>
      <c r="D303" s="487"/>
      <c r="E303" s="487"/>
      <c r="F303" s="487"/>
      <c r="G303" s="487"/>
      <c r="H303" s="488"/>
    </row>
    <row r="304" spans="1:8" x14ac:dyDescent="0.2">
      <c r="A304" s="151">
        <v>899</v>
      </c>
      <c r="B304" s="487" t="s">
        <v>2131</v>
      </c>
      <c r="C304" s="487"/>
      <c r="D304" s="487"/>
      <c r="E304" s="487"/>
      <c r="F304" s="487"/>
      <c r="G304" s="487"/>
      <c r="H304" s="488"/>
    </row>
    <row r="305" spans="1:8" x14ac:dyDescent="0.2">
      <c r="A305" s="151">
        <v>910</v>
      </c>
      <c r="B305" s="487" t="s">
        <v>2096</v>
      </c>
      <c r="C305" s="487"/>
      <c r="D305" s="487"/>
      <c r="E305" s="487"/>
      <c r="F305" s="487"/>
      <c r="G305" s="487"/>
      <c r="H305" s="488"/>
    </row>
    <row r="306" spans="1:8" x14ac:dyDescent="0.2">
      <c r="A306" s="151">
        <v>990</v>
      </c>
      <c r="B306" s="487" t="s">
        <v>244</v>
      </c>
      <c r="C306" s="487"/>
      <c r="D306" s="487"/>
      <c r="E306" s="487"/>
      <c r="F306" s="487"/>
      <c r="G306" s="487"/>
      <c r="H306" s="488"/>
    </row>
    <row r="307" spans="1:8" x14ac:dyDescent="0.2">
      <c r="A307" s="151">
        <v>1011</v>
      </c>
      <c r="B307" s="487" t="s">
        <v>245</v>
      </c>
      <c r="C307" s="487"/>
      <c r="D307" s="487"/>
      <c r="E307" s="487"/>
      <c r="F307" s="487"/>
      <c r="G307" s="487"/>
      <c r="H307" s="488"/>
    </row>
    <row r="308" spans="1:8" x14ac:dyDescent="0.2">
      <c r="A308" s="151">
        <v>1012</v>
      </c>
      <c r="B308" s="487" t="s">
        <v>1979</v>
      </c>
      <c r="C308" s="487"/>
      <c r="D308" s="487"/>
      <c r="E308" s="487"/>
      <c r="F308" s="487"/>
      <c r="G308" s="487"/>
      <c r="H308" s="488"/>
    </row>
    <row r="309" spans="1:8" x14ac:dyDescent="0.2">
      <c r="A309" s="151">
        <v>1013</v>
      </c>
      <c r="B309" s="487" t="s">
        <v>3102</v>
      </c>
      <c r="C309" s="487"/>
      <c r="D309" s="487"/>
      <c r="E309" s="487"/>
      <c r="F309" s="487"/>
      <c r="G309" s="487"/>
      <c r="H309" s="488"/>
    </row>
    <row r="310" spans="1:8" x14ac:dyDescent="0.2">
      <c r="A310" s="151">
        <v>1020</v>
      </c>
      <c r="B310" s="487" t="s">
        <v>1980</v>
      </c>
      <c r="C310" s="487"/>
      <c r="D310" s="487"/>
      <c r="E310" s="487"/>
      <c r="F310" s="487"/>
      <c r="G310" s="487"/>
      <c r="H310" s="488"/>
    </row>
    <row r="311" spans="1:8" x14ac:dyDescent="0.2">
      <c r="A311" s="151">
        <v>1031</v>
      </c>
      <c r="B311" s="487" t="s">
        <v>3103</v>
      </c>
      <c r="C311" s="487"/>
      <c r="D311" s="487"/>
      <c r="E311" s="487"/>
      <c r="F311" s="487"/>
      <c r="G311" s="487"/>
      <c r="H311" s="488"/>
    </row>
    <row r="312" spans="1:8" x14ac:dyDescent="0.2">
      <c r="A312" s="151">
        <v>1032</v>
      </c>
      <c r="B312" s="487" t="s">
        <v>3104</v>
      </c>
      <c r="C312" s="487"/>
      <c r="D312" s="487"/>
      <c r="E312" s="487"/>
      <c r="F312" s="487"/>
      <c r="G312" s="487"/>
      <c r="H312" s="488"/>
    </row>
    <row r="313" spans="1:8" x14ac:dyDescent="0.2">
      <c r="A313" s="151">
        <v>1039</v>
      </c>
      <c r="B313" s="487" t="s">
        <v>1981</v>
      </c>
      <c r="C313" s="487"/>
      <c r="D313" s="487"/>
      <c r="E313" s="487"/>
      <c r="F313" s="487"/>
      <c r="G313" s="487"/>
      <c r="H313" s="488"/>
    </row>
    <row r="314" spans="1:8" x14ac:dyDescent="0.2">
      <c r="A314" s="151">
        <v>1041</v>
      </c>
      <c r="B314" s="487" t="s">
        <v>1982</v>
      </c>
      <c r="C314" s="487"/>
      <c r="D314" s="487"/>
      <c r="E314" s="487"/>
      <c r="F314" s="487"/>
      <c r="G314" s="487"/>
      <c r="H314" s="488"/>
    </row>
    <row r="315" spans="1:8" x14ac:dyDescent="0.2">
      <c r="A315" s="151">
        <v>1042</v>
      </c>
      <c r="B315" s="487" t="s">
        <v>3818</v>
      </c>
      <c r="C315" s="487"/>
      <c r="D315" s="487"/>
      <c r="E315" s="487"/>
      <c r="F315" s="487"/>
      <c r="G315" s="487"/>
      <c r="H315" s="488"/>
    </row>
    <row r="316" spans="1:8" x14ac:dyDescent="0.2">
      <c r="A316" s="151">
        <v>1051</v>
      </c>
      <c r="B316" s="487" t="s">
        <v>3819</v>
      </c>
      <c r="C316" s="487"/>
      <c r="D316" s="487"/>
      <c r="E316" s="487"/>
      <c r="F316" s="487"/>
      <c r="G316" s="487"/>
      <c r="H316" s="488"/>
    </row>
    <row r="317" spans="1:8" x14ac:dyDescent="0.2">
      <c r="A317" s="151">
        <v>1052</v>
      </c>
      <c r="B317" s="487" t="s">
        <v>2885</v>
      </c>
      <c r="C317" s="487"/>
      <c r="D317" s="487"/>
      <c r="E317" s="487"/>
      <c r="F317" s="487"/>
      <c r="G317" s="487"/>
      <c r="H317" s="488"/>
    </row>
    <row r="318" spans="1:8" x14ac:dyDescent="0.2">
      <c r="A318" s="151">
        <v>1061</v>
      </c>
      <c r="B318" s="487" t="s">
        <v>3820</v>
      </c>
      <c r="C318" s="487"/>
      <c r="D318" s="487"/>
      <c r="E318" s="487"/>
      <c r="F318" s="487"/>
      <c r="G318" s="487"/>
      <c r="H318" s="488"/>
    </row>
    <row r="319" spans="1:8" x14ac:dyDescent="0.2">
      <c r="A319" s="151">
        <v>1062</v>
      </c>
      <c r="B319" s="487" t="s">
        <v>1595</v>
      </c>
      <c r="C319" s="487"/>
      <c r="D319" s="487"/>
      <c r="E319" s="487"/>
      <c r="F319" s="487"/>
      <c r="G319" s="487"/>
      <c r="H319" s="488"/>
    </row>
    <row r="320" spans="1:8" x14ac:dyDescent="0.2">
      <c r="A320" s="151">
        <v>1071</v>
      </c>
      <c r="B320" s="487" t="s">
        <v>323</v>
      </c>
      <c r="C320" s="487"/>
      <c r="D320" s="487"/>
      <c r="E320" s="487"/>
      <c r="F320" s="487"/>
      <c r="G320" s="487"/>
      <c r="H320" s="488"/>
    </row>
    <row r="321" spans="1:8" x14ac:dyDescent="0.2">
      <c r="A321" s="151">
        <v>1072</v>
      </c>
      <c r="B321" s="487" t="s">
        <v>324</v>
      </c>
      <c r="C321" s="487"/>
      <c r="D321" s="487"/>
      <c r="E321" s="487"/>
      <c r="F321" s="487"/>
      <c r="G321" s="487"/>
      <c r="H321" s="488"/>
    </row>
    <row r="322" spans="1:8" x14ac:dyDescent="0.2">
      <c r="A322" s="151">
        <v>1073</v>
      </c>
      <c r="B322" s="487" t="s">
        <v>1284</v>
      </c>
      <c r="C322" s="487"/>
      <c r="D322" s="487"/>
      <c r="E322" s="487"/>
      <c r="F322" s="487"/>
      <c r="G322" s="487"/>
      <c r="H322" s="488"/>
    </row>
    <row r="323" spans="1:8" x14ac:dyDescent="0.2">
      <c r="A323" s="151">
        <v>1081</v>
      </c>
      <c r="B323" s="487" t="s">
        <v>379</v>
      </c>
      <c r="C323" s="487"/>
      <c r="D323" s="487"/>
      <c r="E323" s="487"/>
      <c r="F323" s="487"/>
      <c r="G323" s="487"/>
      <c r="H323" s="488"/>
    </row>
    <row r="324" spans="1:8" x14ac:dyDescent="0.2">
      <c r="A324" s="151">
        <v>1082</v>
      </c>
      <c r="B324" s="487" t="s">
        <v>1754</v>
      </c>
      <c r="C324" s="487"/>
      <c r="D324" s="487"/>
      <c r="E324" s="487"/>
      <c r="F324" s="487"/>
      <c r="G324" s="487"/>
      <c r="H324" s="488"/>
    </row>
    <row r="325" spans="1:8" x14ac:dyDescent="0.2">
      <c r="A325" s="151">
        <v>1083</v>
      </c>
      <c r="B325" s="487" t="s">
        <v>380</v>
      </c>
      <c r="C325" s="487"/>
      <c r="D325" s="487"/>
      <c r="E325" s="487"/>
      <c r="F325" s="487"/>
      <c r="G325" s="487"/>
      <c r="H325" s="488"/>
    </row>
    <row r="326" spans="1:8" x14ac:dyDescent="0.2">
      <c r="A326" s="151">
        <v>1084</v>
      </c>
      <c r="B326" s="487" t="s">
        <v>1755</v>
      </c>
      <c r="C326" s="487"/>
      <c r="D326" s="487"/>
      <c r="E326" s="487"/>
      <c r="F326" s="487"/>
      <c r="G326" s="487"/>
      <c r="H326" s="488"/>
    </row>
    <row r="327" spans="1:8" x14ac:dyDescent="0.2">
      <c r="A327" s="151">
        <v>1085</v>
      </c>
      <c r="B327" s="487" t="s">
        <v>2966</v>
      </c>
      <c r="C327" s="487"/>
      <c r="D327" s="487"/>
      <c r="E327" s="487"/>
      <c r="F327" s="487"/>
      <c r="G327" s="487"/>
      <c r="H327" s="488"/>
    </row>
    <row r="328" spans="1:8" x14ac:dyDescent="0.2">
      <c r="A328" s="151">
        <v>1086</v>
      </c>
      <c r="B328" s="487" t="s">
        <v>2967</v>
      </c>
      <c r="C328" s="487"/>
      <c r="D328" s="487"/>
      <c r="E328" s="487"/>
      <c r="F328" s="487"/>
      <c r="G328" s="487"/>
      <c r="H328" s="488"/>
    </row>
    <row r="329" spans="1:8" x14ac:dyDescent="0.2">
      <c r="A329" s="151">
        <v>1089</v>
      </c>
      <c r="B329" s="487" t="s">
        <v>2968</v>
      </c>
      <c r="C329" s="487"/>
      <c r="D329" s="487"/>
      <c r="E329" s="487"/>
      <c r="F329" s="487"/>
      <c r="G329" s="487"/>
      <c r="H329" s="488"/>
    </row>
    <row r="330" spans="1:8" x14ac:dyDescent="0.2">
      <c r="A330" s="151">
        <v>1091</v>
      </c>
      <c r="B330" s="487" t="s">
        <v>4098</v>
      </c>
      <c r="C330" s="487"/>
      <c r="D330" s="487"/>
      <c r="E330" s="487"/>
      <c r="F330" s="487"/>
      <c r="G330" s="487"/>
      <c r="H330" s="488"/>
    </row>
    <row r="331" spans="1:8" x14ac:dyDescent="0.2">
      <c r="A331" s="151">
        <v>1092</v>
      </c>
      <c r="B331" s="487" t="s">
        <v>4011</v>
      </c>
      <c r="C331" s="487"/>
      <c r="D331" s="487"/>
      <c r="E331" s="487"/>
      <c r="F331" s="487"/>
      <c r="G331" s="487"/>
      <c r="H331" s="488"/>
    </row>
    <row r="332" spans="1:8" x14ac:dyDescent="0.2">
      <c r="A332" s="151">
        <v>1101</v>
      </c>
      <c r="B332" s="487" t="s">
        <v>567</v>
      </c>
      <c r="C332" s="487"/>
      <c r="D332" s="487"/>
      <c r="E332" s="487"/>
      <c r="F332" s="487"/>
      <c r="G332" s="487"/>
      <c r="H332" s="488"/>
    </row>
    <row r="333" spans="1:8" x14ac:dyDescent="0.2">
      <c r="A333" s="151">
        <v>1102</v>
      </c>
      <c r="B333" s="487" t="s">
        <v>1959</v>
      </c>
      <c r="C333" s="487"/>
      <c r="D333" s="487"/>
      <c r="E333" s="487"/>
      <c r="F333" s="487"/>
      <c r="G333" s="487"/>
      <c r="H333" s="488"/>
    </row>
    <row r="334" spans="1:8" x14ac:dyDescent="0.2">
      <c r="A334" s="151">
        <v>1103</v>
      </c>
      <c r="B334" s="487" t="s">
        <v>1960</v>
      </c>
      <c r="C334" s="487"/>
      <c r="D334" s="487"/>
      <c r="E334" s="487"/>
      <c r="F334" s="487"/>
      <c r="G334" s="487"/>
      <c r="H334" s="488"/>
    </row>
    <row r="335" spans="1:8" x14ac:dyDescent="0.2">
      <c r="A335" s="151">
        <v>1104</v>
      </c>
      <c r="B335" s="487" t="s">
        <v>3926</v>
      </c>
      <c r="C335" s="487"/>
      <c r="D335" s="487"/>
      <c r="E335" s="487"/>
      <c r="F335" s="487"/>
      <c r="G335" s="487"/>
      <c r="H335" s="488"/>
    </row>
    <row r="336" spans="1:8" x14ac:dyDescent="0.2">
      <c r="A336" s="151">
        <v>1105</v>
      </c>
      <c r="B336" s="487" t="s">
        <v>2313</v>
      </c>
      <c r="C336" s="487"/>
      <c r="D336" s="487"/>
      <c r="E336" s="487"/>
      <c r="F336" s="487"/>
      <c r="G336" s="487"/>
      <c r="H336" s="488"/>
    </row>
    <row r="337" spans="1:8" x14ac:dyDescent="0.2">
      <c r="A337" s="151">
        <v>1106</v>
      </c>
      <c r="B337" s="487" t="s">
        <v>2314</v>
      </c>
      <c r="C337" s="487"/>
      <c r="D337" s="487"/>
      <c r="E337" s="487"/>
      <c r="F337" s="487"/>
      <c r="G337" s="487"/>
      <c r="H337" s="488"/>
    </row>
    <row r="338" spans="1:8" x14ac:dyDescent="0.2">
      <c r="A338" s="151">
        <v>1107</v>
      </c>
      <c r="B338" s="487" t="s">
        <v>1782</v>
      </c>
      <c r="C338" s="487"/>
      <c r="D338" s="487"/>
      <c r="E338" s="487"/>
      <c r="F338" s="487"/>
      <c r="G338" s="487"/>
      <c r="H338" s="488"/>
    </row>
    <row r="339" spans="1:8" x14ac:dyDescent="0.2">
      <c r="A339" s="151">
        <v>1200</v>
      </c>
      <c r="B339" s="487" t="s">
        <v>1783</v>
      </c>
      <c r="C339" s="487"/>
      <c r="D339" s="487"/>
      <c r="E339" s="487"/>
      <c r="F339" s="487"/>
      <c r="G339" s="487"/>
      <c r="H339" s="488"/>
    </row>
    <row r="340" spans="1:8" x14ac:dyDescent="0.2">
      <c r="A340" s="151">
        <v>1310</v>
      </c>
      <c r="B340" s="487" t="s">
        <v>1784</v>
      </c>
      <c r="C340" s="487"/>
      <c r="D340" s="487"/>
      <c r="E340" s="487"/>
      <c r="F340" s="487"/>
      <c r="G340" s="487"/>
      <c r="H340" s="488"/>
    </row>
    <row r="341" spans="1:8" x14ac:dyDescent="0.2">
      <c r="A341" s="151">
        <v>1320</v>
      </c>
      <c r="B341" s="487" t="s">
        <v>1785</v>
      </c>
      <c r="C341" s="487"/>
      <c r="D341" s="487"/>
      <c r="E341" s="487"/>
      <c r="F341" s="487"/>
      <c r="G341" s="487"/>
      <c r="H341" s="488"/>
    </row>
    <row r="342" spans="1:8" x14ac:dyDescent="0.2">
      <c r="A342" s="151">
        <v>1330</v>
      </c>
      <c r="B342" s="487" t="s">
        <v>1084</v>
      </c>
      <c r="C342" s="487"/>
      <c r="D342" s="487"/>
      <c r="E342" s="487"/>
      <c r="F342" s="487"/>
      <c r="G342" s="487"/>
      <c r="H342" s="488"/>
    </row>
    <row r="343" spans="1:8" x14ac:dyDescent="0.2">
      <c r="A343" s="151">
        <v>1391</v>
      </c>
      <c r="B343" s="487" t="s">
        <v>216</v>
      </c>
      <c r="C343" s="487"/>
      <c r="D343" s="487"/>
      <c r="E343" s="487"/>
      <c r="F343" s="487"/>
      <c r="G343" s="487"/>
      <c r="H343" s="488"/>
    </row>
    <row r="344" spans="1:8" x14ac:dyDescent="0.2">
      <c r="A344" s="151">
        <v>1392</v>
      </c>
      <c r="B344" s="487" t="s">
        <v>1786</v>
      </c>
      <c r="C344" s="487"/>
      <c r="D344" s="487"/>
      <c r="E344" s="487"/>
      <c r="F344" s="487"/>
      <c r="G344" s="487"/>
      <c r="H344" s="488"/>
    </row>
    <row r="345" spans="1:8" x14ac:dyDescent="0.2">
      <c r="A345" s="151">
        <v>1393</v>
      </c>
      <c r="B345" s="487" t="s">
        <v>1787</v>
      </c>
      <c r="C345" s="487"/>
      <c r="D345" s="487"/>
      <c r="E345" s="487"/>
      <c r="F345" s="487"/>
      <c r="G345" s="487"/>
      <c r="H345" s="488"/>
    </row>
    <row r="346" spans="1:8" x14ac:dyDescent="0.2">
      <c r="A346" s="151">
        <v>1394</v>
      </c>
      <c r="B346" s="487" t="s">
        <v>1788</v>
      </c>
      <c r="C346" s="487"/>
      <c r="D346" s="487"/>
      <c r="E346" s="487"/>
      <c r="F346" s="487"/>
      <c r="G346" s="487"/>
      <c r="H346" s="488"/>
    </row>
    <row r="347" spans="1:8" x14ac:dyDescent="0.2">
      <c r="A347" s="151">
        <v>1395</v>
      </c>
      <c r="B347" s="487" t="s">
        <v>3378</v>
      </c>
      <c r="C347" s="487"/>
      <c r="D347" s="487"/>
      <c r="E347" s="487"/>
      <c r="F347" s="487"/>
      <c r="G347" s="487"/>
      <c r="H347" s="488"/>
    </row>
    <row r="348" spans="1:8" x14ac:dyDescent="0.2">
      <c r="A348" s="151">
        <v>1396</v>
      </c>
      <c r="B348" s="487" t="s">
        <v>3442</v>
      </c>
      <c r="C348" s="487"/>
      <c r="D348" s="487"/>
      <c r="E348" s="487"/>
      <c r="F348" s="487"/>
      <c r="G348" s="487"/>
      <c r="H348" s="488"/>
    </row>
    <row r="349" spans="1:8" x14ac:dyDescent="0.2">
      <c r="A349" s="151">
        <v>1399</v>
      </c>
      <c r="B349" s="487" t="s">
        <v>3443</v>
      </c>
      <c r="C349" s="487"/>
      <c r="D349" s="487"/>
      <c r="E349" s="487"/>
      <c r="F349" s="487"/>
      <c r="G349" s="487"/>
      <c r="H349" s="488"/>
    </row>
    <row r="350" spans="1:8" x14ac:dyDescent="0.2">
      <c r="A350" s="151">
        <v>1411</v>
      </c>
      <c r="B350" s="487" t="s">
        <v>3954</v>
      </c>
      <c r="C350" s="487"/>
      <c r="D350" s="487"/>
      <c r="E350" s="487"/>
      <c r="F350" s="487"/>
      <c r="G350" s="487"/>
      <c r="H350" s="488"/>
    </row>
    <row r="351" spans="1:8" x14ac:dyDescent="0.2">
      <c r="A351" s="151">
        <v>1412</v>
      </c>
      <c r="B351" s="487" t="s">
        <v>3444</v>
      </c>
      <c r="C351" s="487"/>
      <c r="D351" s="487"/>
      <c r="E351" s="487"/>
      <c r="F351" s="487"/>
      <c r="G351" s="487"/>
      <c r="H351" s="488"/>
    </row>
    <row r="352" spans="1:8" x14ac:dyDescent="0.2">
      <c r="A352" s="151">
        <v>1413</v>
      </c>
      <c r="B352" s="487" t="s">
        <v>3445</v>
      </c>
      <c r="C352" s="487"/>
      <c r="D352" s="487"/>
      <c r="E352" s="487"/>
      <c r="F352" s="487"/>
      <c r="G352" s="487"/>
      <c r="H352" s="488"/>
    </row>
    <row r="353" spans="1:8" x14ac:dyDescent="0.2">
      <c r="A353" s="151">
        <v>1414</v>
      </c>
      <c r="B353" s="487" t="s">
        <v>3106</v>
      </c>
      <c r="C353" s="487"/>
      <c r="D353" s="487"/>
      <c r="E353" s="487"/>
      <c r="F353" s="487"/>
      <c r="G353" s="487"/>
      <c r="H353" s="488"/>
    </row>
    <row r="354" spans="1:8" x14ac:dyDescent="0.2">
      <c r="A354" s="151">
        <v>1419</v>
      </c>
      <c r="B354" s="487" t="s">
        <v>3446</v>
      </c>
      <c r="C354" s="487"/>
      <c r="D354" s="487"/>
      <c r="E354" s="487"/>
      <c r="F354" s="487"/>
      <c r="G354" s="487"/>
      <c r="H354" s="488"/>
    </row>
    <row r="355" spans="1:8" x14ac:dyDescent="0.2">
      <c r="A355" s="151">
        <v>1420</v>
      </c>
      <c r="B355" s="487" t="s">
        <v>3447</v>
      </c>
      <c r="C355" s="487"/>
      <c r="D355" s="487"/>
      <c r="E355" s="487"/>
      <c r="F355" s="487"/>
      <c r="G355" s="487"/>
      <c r="H355" s="488"/>
    </row>
    <row r="356" spans="1:8" x14ac:dyDescent="0.2">
      <c r="A356" s="151">
        <v>1431</v>
      </c>
      <c r="B356" s="487" t="s">
        <v>3953</v>
      </c>
      <c r="C356" s="487"/>
      <c r="D356" s="487"/>
      <c r="E356" s="487"/>
      <c r="F356" s="487"/>
      <c r="G356" s="487"/>
      <c r="H356" s="488"/>
    </row>
    <row r="357" spans="1:8" x14ac:dyDescent="0.2">
      <c r="A357" s="151">
        <v>1439</v>
      </c>
      <c r="B357" s="487" t="s">
        <v>3452</v>
      </c>
      <c r="C357" s="487"/>
      <c r="D357" s="487"/>
      <c r="E357" s="487"/>
      <c r="F357" s="487"/>
      <c r="G357" s="487"/>
      <c r="H357" s="488"/>
    </row>
    <row r="358" spans="1:8" x14ac:dyDescent="0.2">
      <c r="A358" s="151">
        <v>1511</v>
      </c>
      <c r="B358" s="487" t="s">
        <v>2756</v>
      </c>
      <c r="C358" s="487"/>
      <c r="D358" s="487"/>
      <c r="E358" s="487"/>
      <c r="F358" s="487"/>
      <c r="G358" s="487"/>
      <c r="H358" s="488"/>
    </row>
    <row r="359" spans="1:8" x14ac:dyDescent="0.2">
      <c r="A359" s="151">
        <v>1512</v>
      </c>
      <c r="B359" s="487" t="s">
        <v>2757</v>
      </c>
      <c r="C359" s="487"/>
      <c r="D359" s="487"/>
      <c r="E359" s="487"/>
      <c r="F359" s="487"/>
      <c r="G359" s="487"/>
      <c r="H359" s="488"/>
    </row>
    <row r="360" spans="1:8" x14ac:dyDescent="0.2">
      <c r="A360" s="151">
        <v>1520</v>
      </c>
      <c r="B360" s="487" t="s">
        <v>2000</v>
      </c>
      <c r="C360" s="487"/>
      <c r="D360" s="487"/>
      <c r="E360" s="487"/>
      <c r="F360" s="487"/>
      <c r="G360" s="487"/>
      <c r="H360" s="488"/>
    </row>
    <row r="361" spans="1:8" x14ac:dyDescent="0.2">
      <c r="A361" s="151">
        <v>1610</v>
      </c>
      <c r="B361" s="487" t="s">
        <v>2001</v>
      </c>
      <c r="C361" s="487"/>
      <c r="D361" s="487"/>
      <c r="E361" s="487"/>
      <c r="F361" s="487"/>
      <c r="G361" s="487"/>
      <c r="H361" s="488"/>
    </row>
    <row r="362" spans="1:8" x14ac:dyDescent="0.2">
      <c r="A362" s="151">
        <v>1621</v>
      </c>
      <c r="B362" s="487" t="s">
        <v>2002</v>
      </c>
      <c r="C362" s="487"/>
      <c r="D362" s="487"/>
      <c r="E362" s="487"/>
      <c r="F362" s="487"/>
      <c r="G362" s="487"/>
      <c r="H362" s="488"/>
    </row>
    <row r="363" spans="1:8" x14ac:dyDescent="0.2">
      <c r="A363" s="151">
        <v>1622</v>
      </c>
      <c r="B363" s="487" t="s">
        <v>3042</v>
      </c>
      <c r="C363" s="487"/>
      <c r="D363" s="487"/>
      <c r="E363" s="487"/>
      <c r="F363" s="487"/>
      <c r="G363" s="487"/>
      <c r="H363" s="488"/>
    </row>
    <row r="364" spans="1:8" x14ac:dyDescent="0.2">
      <c r="A364" s="151">
        <v>1623</v>
      </c>
      <c r="B364" s="487" t="s">
        <v>3043</v>
      </c>
      <c r="C364" s="487"/>
      <c r="D364" s="487"/>
      <c r="E364" s="487"/>
      <c r="F364" s="487"/>
      <c r="G364" s="487"/>
      <c r="H364" s="488"/>
    </row>
    <row r="365" spans="1:8" x14ac:dyDescent="0.2">
      <c r="A365" s="151">
        <v>1624</v>
      </c>
      <c r="B365" s="487" t="s">
        <v>3107</v>
      </c>
      <c r="C365" s="487"/>
      <c r="D365" s="487"/>
      <c r="E365" s="487"/>
      <c r="F365" s="487"/>
      <c r="G365" s="487"/>
      <c r="H365" s="488"/>
    </row>
    <row r="366" spans="1:8" x14ac:dyDescent="0.2">
      <c r="A366" s="151">
        <v>1629</v>
      </c>
      <c r="B366" s="487" t="s">
        <v>3367</v>
      </c>
      <c r="C366" s="487"/>
      <c r="D366" s="487"/>
      <c r="E366" s="487"/>
      <c r="F366" s="487"/>
      <c r="G366" s="487"/>
      <c r="H366" s="488"/>
    </row>
    <row r="367" spans="1:8" x14ac:dyDescent="0.2">
      <c r="A367" s="151">
        <v>1711</v>
      </c>
      <c r="B367" s="487" t="s">
        <v>3108</v>
      </c>
      <c r="C367" s="487"/>
      <c r="D367" s="487"/>
      <c r="E367" s="487"/>
      <c r="F367" s="487"/>
      <c r="G367" s="487"/>
      <c r="H367" s="488"/>
    </row>
    <row r="368" spans="1:8" x14ac:dyDescent="0.2">
      <c r="A368" s="151">
        <v>1712</v>
      </c>
      <c r="B368" s="487" t="s">
        <v>3109</v>
      </c>
      <c r="C368" s="487"/>
      <c r="D368" s="487"/>
      <c r="E368" s="487"/>
      <c r="F368" s="487"/>
      <c r="G368" s="487"/>
      <c r="H368" s="488"/>
    </row>
    <row r="369" spans="1:8" x14ac:dyDescent="0.2">
      <c r="A369" s="151">
        <v>1721</v>
      </c>
      <c r="B369" s="487" t="s">
        <v>3368</v>
      </c>
      <c r="C369" s="487"/>
      <c r="D369" s="487"/>
      <c r="E369" s="487"/>
      <c r="F369" s="487"/>
      <c r="G369" s="487"/>
      <c r="H369" s="488"/>
    </row>
    <row r="370" spans="1:8" x14ac:dyDescent="0.2">
      <c r="A370" s="151">
        <v>1722</v>
      </c>
      <c r="B370" s="487" t="s">
        <v>1587</v>
      </c>
      <c r="C370" s="487"/>
      <c r="D370" s="487"/>
      <c r="E370" s="487"/>
      <c r="F370" s="487"/>
      <c r="G370" s="487"/>
      <c r="H370" s="488"/>
    </row>
    <row r="371" spans="1:8" x14ac:dyDescent="0.2">
      <c r="A371" s="151">
        <v>1723</v>
      </c>
      <c r="B371" s="487" t="s">
        <v>3110</v>
      </c>
      <c r="C371" s="487"/>
      <c r="D371" s="487"/>
      <c r="E371" s="487"/>
      <c r="F371" s="487"/>
      <c r="G371" s="487"/>
      <c r="H371" s="488"/>
    </row>
    <row r="372" spans="1:8" x14ac:dyDescent="0.2">
      <c r="A372" s="151">
        <v>1724</v>
      </c>
      <c r="B372" s="487" t="s">
        <v>3111</v>
      </c>
      <c r="C372" s="487"/>
      <c r="D372" s="487"/>
      <c r="E372" s="487"/>
      <c r="F372" s="487"/>
      <c r="G372" s="487"/>
      <c r="H372" s="488"/>
    </row>
    <row r="373" spans="1:8" x14ac:dyDescent="0.2">
      <c r="A373" s="151">
        <v>1729</v>
      </c>
      <c r="B373" s="487" t="s">
        <v>1588</v>
      </c>
      <c r="C373" s="487"/>
      <c r="D373" s="487"/>
      <c r="E373" s="487"/>
      <c r="F373" s="487"/>
      <c r="G373" s="487"/>
      <c r="H373" s="488"/>
    </row>
    <row r="374" spans="1:8" x14ac:dyDescent="0.2">
      <c r="A374" s="151">
        <v>1811</v>
      </c>
      <c r="B374" s="487" t="s">
        <v>2409</v>
      </c>
      <c r="C374" s="487"/>
      <c r="D374" s="487"/>
      <c r="E374" s="487"/>
      <c r="F374" s="487"/>
      <c r="G374" s="487"/>
      <c r="H374" s="488"/>
    </row>
    <row r="375" spans="1:8" x14ac:dyDescent="0.2">
      <c r="A375" s="151">
        <v>1812</v>
      </c>
      <c r="B375" s="487" t="s">
        <v>1589</v>
      </c>
      <c r="C375" s="487"/>
      <c r="D375" s="487"/>
      <c r="E375" s="487"/>
      <c r="F375" s="487"/>
      <c r="G375" s="487"/>
      <c r="H375" s="488"/>
    </row>
    <row r="376" spans="1:8" x14ac:dyDescent="0.2">
      <c r="A376" s="151">
        <v>1813</v>
      </c>
      <c r="B376" s="487" t="s">
        <v>1590</v>
      </c>
      <c r="C376" s="487"/>
      <c r="D376" s="487"/>
      <c r="E376" s="487"/>
      <c r="F376" s="487"/>
      <c r="G376" s="487"/>
      <c r="H376" s="488"/>
    </row>
    <row r="377" spans="1:8" x14ac:dyDescent="0.2">
      <c r="A377" s="151">
        <v>1814</v>
      </c>
      <c r="B377" s="487" t="s">
        <v>1591</v>
      </c>
      <c r="C377" s="487"/>
      <c r="D377" s="487"/>
      <c r="E377" s="487"/>
      <c r="F377" s="487"/>
      <c r="G377" s="487"/>
      <c r="H377" s="488"/>
    </row>
    <row r="378" spans="1:8" x14ac:dyDescent="0.2">
      <c r="A378" s="151">
        <v>1820</v>
      </c>
      <c r="B378" s="487" t="s">
        <v>241</v>
      </c>
      <c r="C378" s="487"/>
      <c r="D378" s="487"/>
      <c r="E378" s="487"/>
      <c r="F378" s="487"/>
      <c r="G378" s="487"/>
      <c r="H378" s="488"/>
    </row>
    <row r="379" spans="1:8" x14ac:dyDescent="0.2">
      <c r="A379" s="151">
        <v>1910</v>
      </c>
      <c r="B379" s="487" t="s">
        <v>2410</v>
      </c>
      <c r="C379" s="487"/>
      <c r="D379" s="487"/>
      <c r="E379" s="487"/>
      <c r="F379" s="487"/>
      <c r="G379" s="487"/>
      <c r="H379" s="488"/>
    </row>
    <row r="380" spans="1:8" x14ac:dyDescent="0.2">
      <c r="A380" s="151">
        <v>1920</v>
      </c>
      <c r="B380" s="487" t="s">
        <v>242</v>
      </c>
      <c r="C380" s="487"/>
      <c r="D380" s="487"/>
      <c r="E380" s="487"/>
      <c r="F380" s="487"/>
      <c r="G380" s="487"/>
      <c r="H380" s="488"/>
    </row>
    <row r="381" spans="1:8" x14ac:dyDescent="0.2">
      <c r="A381" s="151">
        <v>2011</v>
      </c>
      <c r="B381" s="487" t="s">
        <v>2579</v>
      </c>
      <c r="C381" s="487"/>
      <c r="D381" s="487"/>
      <c r="E381" s="487"/>
      <c r="F381" s="487"/>
      <c r="G381" s="487"/>
      <c r="H381" s="488"/>
    </row>
    <row r="382" spans="1:8" x14ac:dyDescent="0.2">
      <c r="A382" s="151">
        <v>2012</v>
      </c>
      <c r="B382" s="487" t="s">
        <v>339</v>
      </c>
      <c r="C382" s="487"/>
      <c r="D382" s="487"/>
      <c r="E382" s="487"/>
      <c r="F382" s="487"/>
      <c r="G382" s="487"/>
      <c r="H382" s="488"/>
    </row>
    <row r="383" spans="1:8" x14ac:dyDescent="0.2">
      <c r="A383" s="151">
        <v>2013</v>
      </c>
      <c r="B383" s="487" t="s">
        <v>403</v>
      </c>
      <c r="C383" s="487"/>
      <c r="D383" s="487"/>
      <c r="E383" s="487"/>
      <c r="F383" s="487"/>
      <c r="G383" s="487"/>
      <c r="H383" s="488"/>
    </row>
    <row r="384" spans="1:8" x14ac:dyDescent="0.2">
      <c r="A384" s="151">
        <v>2014</v>
      </c>
      <c r="B384" s="487" t="s">
        <v>2618</v>
      </c>
      <c r="C384" s="487"/>
      <c r="D384" s="487"/>
      <c r="E384" s="487"/>
      <c r="F384" s="487"/>
      <c r="G384" s="487"/>
      <c r="H384" s="488"/>
    </row>
    <row r="385" spans="1:8" x14ac:dyDescent="0.2">
      <c r="A385" s="151">
        <v>2015</v>
      </c>
      <c r="B385" s="487" t="s">
        <v>2619</v>
      </c>
      <c r="C385" s="487"/>
      <c r="D385" s="487"/>
      <c r="E385" s="487"/>
      <c r="F385" s="487"/>
      <c r="G385" s="487"/>
      <c r="H385" s="488"/>
    </row>
    <row r="386" spans="1:8" x14ac:dyDescent="0.2">
      <c r="A386" s="151">
        <v>2016</v>
      </c>
      <c r="B386" s="487" t="s">
        <v>2620</v>
      </c>
      <c r="C386" s="487"/>
      <c r="D386" s="487"/>
      <c r="E386" s="487"/>
      <c r="F386" s="487"/>
      <c r="G386" s="487"/>
      <c r="H386" s="488"/>
    </row>
    <row r="387" spans="1:8" x14ac:dyDescent="0.2">
      <c r="A387" s="151">
        <v>2017</v>
      </c>
      <c r="B387" s="487" t="s">
        <v>3353</v>
      </c>
      <c r="C387" s="487"/>
      <c r="D387" s="487"/>
      <c r="E387" s="487"/>
      <c r="F387" s="487"/>
      <c r="G387" s="487"/>
      <c r="H387" s="488"/>
    </row>
    <row r="388" spans="1:8" x14ac:dyDescent="0.2">
      <c r="A388" s="151">
        <v>2020</v>
      </c>
      <c r="B388" s="487" t="s">
        <v>2716</v>
      </c>
      <c r="C388" s="487"/>
      <c r="D388" s="487"/>
      <c r="E388" s="487"/>
      <c r="F388" s="487"/>
      <c r="G388" s="487"/>
      <c r="H388" s="488"/>
    </row>
    <row r="389" spans="1:8" x14ac:dyDescent="0.2">
      <c r="A389" s="151">
        <v>2030</v>
      </c>
      <c r="B389" s="487" t="s">
        <v>4102</v>
      </c>
      <c r="C389" s="487"/>
      <c r="D389" s="487"/>
      <c r="E389" s="487"/>
      <c r="F389" s="487"/>
      <c r="G389" s="487"/>
      <c r="H389" s="488"/>
    </row>
    <row r="390" spans="1:8" x14ac:dyDescent="0.2">
      <c r="A390" s="151">
        <v>2041</v>
      </c>
      <c r="B390" s="487" t="s">
        <v>2575</v>
      </c>
      <c r="C390" s="487"/>
      <c r="D390" s="487"/>
      <c r="E390" s="487"/>
      <c r="F390" s="487"/>
      <c r="G390" s="487"/>
      <c r="H390" s="488"/>
    </row>
    <row r="391" spans="1:8" x14ac:dyDescent="0.2">
      <c r="A391" s="151">
        <v>2042</v>
      </c>
      <c r="B391" s="487" t="s">
        <v>788</v>
      </c>
      <c r="C391" s="487"/>
      <c r="D391" s="487"/>
      <c r="E391" s="487"/>
      <c r="F391" s="487"/>
      <c r="G391" s="487"/>
      <c r="H391" s="488"/>
    </row>
    <row r="392" spans="1:8" x14ac:dyDescent="0.2">
      <c r="A392" s="151">
        <v>2051</v>
      </c>
      <c r="B392" s="487" t="s">
        <v>3488</v>
      </c>
      <c r="C392" s="487"/>
      <c r="D392" s="487"/>
      <c r="E392" s="487"/>
      <c r="F392" s="487"/>
      <c r="G392" s="487"/>
      <c r="H392" s="488"/>
    </row>
    <row r="393" spans="1:8" x14ac:dyDescent="0.2">
      <c r="A393" s="151">
        <v>2052</v>
      </c>
      <c r="B393" s="487" t="s">
        <v>789</v>
      </c>
      <c r="C393" s="487"/>
      <c r="D393" s="487"/>
      <c r="E393" s="487"/>
      <c r="F393" s="487"/>
      <c r="G393" s="487"/>
      <c r="H393" s="488"/>
    </row>
    <row r="394" spans="1:8" x14ac:dyDescent="0.2">
      <c r="A394" s="151">
        <v>2053</v>
      </c>
      <c r="B394" s="487" t="s">
        <v>3489</v>
      </c>
      <c r="C394" s="487"/>
      <c r="D394" s="487"/>
      <c r="E394" s="487"/>
      <c r="F394" s="487"/>
      <c r="G394" s="487"/>
      <c r="H394" s="488"/>
    </row>
    <row r="395" spans="1:8" x14ac:dyDescent="0.2">
      <c r="A395" s="151">
        <v>2059</v>
      </c>
      <c r="B395" s="487" t="s">
        <v>790</v>
      </c>
      <c r="C395" s="487"/>
      <c r="D395" s="487"/>
      <c r="E395" s="487"/>
      <c r="F395" s="487"/>
      <c r="G395" s="487"/>
      <c r="H395" s="488"/>
    </row>
    <row r="396" spans="1:8" x14ac:dyDescent="0.2">
      <c r="A396" s="151">
        <v>2060</v>
      </c>
      <c r="B396" s="487" t="s">
        <v>791</v>
      </c>
      <c r="C396" s="487"/>
      <c r="D396" s="487"/>
      <c r="E396" s="487"/>
      <c r="F396" s="487"/>
      <c r="G396" s="487"/>
      <c r="H396" s="488"/>
    </row>
    <row r="397" spans="1:8" x14ac:dyDescent="0.2">
      <c r="A397" s="151">
        <v>2110</v>
      </c>
      <c r="B397" s="487" t="s">
        <v>792</v>
      </c>
      <c r="C397" s="487"/>
      <c r="D397" s="487"/>
      <c r="E397" s="487"/>
      <c r="F397" s="487"/>
      <c r="G397" s="487"/>
      <c r="H397" s="488"/>
    </row>
    <row r="398" spans="1:8" x14ac:dyDescent="0.2">
      <c r="A398" s="151">
        <v>2120</v>
      </c>
      <c r="B398" s="487" t="s">
        <v>3487</v>
      </c>
      <c r="C398" s="487"/>
      <c r="D398" s="487"/>
      <c r="E398" s="487"/>
      <c r="F398" s="487"/>
      <c r="G398" s="487"/>
      <c r="H398" s="488"/>
    </row>
    <row r="399" spans="1:8" x14ac:dyDescent="0.2">
      <c r="A399" s="151">
        <v>2211</v>
      </c>
      <c r="B399" s="487" t="s">
        <v>3886</v>
      </c>
      <c r="C399" s="487"/>
      <c r="D399" s="487"/>
      <c r="E399" s="487"/>
      <c r="F399" s="487"/>
      <c r="G399" s="487"/>
      <c r="H399" s="488"/>
    </row>
    <row r="400" spans="1:8" x14ac:dyDescent="0.2">
      <c r="A400" s="151">
        <v>2219</v>
      </c>
      <c r="B400" s="487" t="s">
        <v>3490</v>
      </c>
      <c r="C400" s="487"/>
      <c r="D400" s="487"/>
      <c r="E400" s="487"/>
      <c r="F400" s="487"/>
      <c r="G400" s="487"/>
      <c r="H400" s="488"/>
    </row>
    <row r="401" spans="1:8" x14ac:dyDescent="0.2">
      <c r="A401" s="151">
        <v>2221</v>
      </c>
      <c r="B401" s="487" t="s">
        <v>3887</v>
      </c>
      <c r="C401" s="487"/>
      <c r="D401" s="487"/>
      <c r="E401" s="487"/>
      <c r="F401" s="487"/>
      <c r="G401" s="487"/>
      <c r="H401" s="488"/>
    </row>
    <row r="402" spans="1:8" x14ac:dyDescent="0.2">
      <c r="A402" s="151">
        <v>2222</v>
      </c>
      <c r="B402" s="487" t="s">
        <v>3491</v>
      </c>
      <c r="C402" s="487"/>
      <c r="D402" s="487"/>
      <c r="E402" s="487"/>
      <c r="F402" s="487"/>
      <c r="G402" s="487"/>
      <c r="H402" s="488"/>
    </row>
    <row r="403" spans="1:8" x14ac:dyDescent="0.2">
      <c r="A403" s="151">
        <v>2223</v>
      </c>
      <c r="B403" s="487" t="s">
        <v>3888</v>
      </c>
      <c r="C403" s="487"/>
      <c r="D403" s="487"/>
      <c r="E403" s="487"/>
      <c r="F403" s="487"/>
      <c r="G403" s="487"/>
      <c r="H403" s="488"/>
    </row>
    <row r="404" spans="1:8" x14ac:dyDescent="0.2">
      <c r="A404" s="151">
        <v>2229</v>
      </c>
      <c r="B404" s="487" t="s">
        <v>3889</v>
      </c>
      <c r="C404" s="487"/>
      <c r="D404" s="487"/>
      <c r="E404" s="487"/>
      <c r="F404" s="487"/>
      <c r="G404" s="487"/>
      <c r="H404" s="488"/>
    </row>
    <row r="405" spans="1:8" x14ac:dyDescent="0.2">
      <c r="A405" s="151">
        <v>2311</v>
      </c>
      <c r="B405" s="487" t="s">
        <v>2188</v>
      </c>
      <c r="C405" s="487"/>
      <c r="D405" s="487"/>
      <c r="E405" s="487"/>
      <c r="F405" s="487"/>
      <c r="G405" s="487"/>
      <c r="H405" s="488"/>
    </row>
    <row r="406" spans="1:8" x14ac:dyDescent="0.2">
      <c r="A406" s="151">
        <v>2312</v>
      </c>
      <c r="B406" s="487" t="s">
        <v>2189</v>
      </c>
      <c r="C406" s="487"/>
      <c r="D406" s="487"/>
      <c r="E406" s="487"/>
      <c r="F406" s="487"/>
      <c r="G406" s="487"/>
      <c r="H406" s="488"/>
    </row>
    <row r="407" spans="1:8" x14ac:dyDescent="0.2">
      <c r="A407" s="151">
        <v>2313</v>
      </c>
      <c r="B407" s="487" t="s">
        <v>811</v>
      </c>
      <c r="C407" s="487"/>
      <c r="D407" s="487"/>
      <c r="E407" s="487"/>
      <c r="F407" s="487"/>
      <c r="G407" s="487"/>
      <c r="H407" s="488"/>
    </row>
    <row r="408" spans="1:8" x14ac:dyDescent="0.2">
      <c r="A408" s="151">
        <v>2314</v>
      </c>
      <c r="B408" s="487" t="s">
        <v>3263</v>
      </c>
      <c r="C408" s="487"/>
      <c r="D408" s="487"/>
      <c r="E408" s="487"/>
      <c r="F408" s="487"/>
      <c r="G408" s="487"/>
      <c r="H408" s="488"/>
    </row>
    <row r="409" spans="1:8" x14ac:dyDescent="0.2">
      <c r="A409" s="151">
        <v>2319</v>
      </c>
      <c r="B409" s="487" t="s">
        <v>3890</v>
      </c>
      <c r="C409" s="487"/>
      <c r="D409" s="487"/>
      <c r="E409" s="487"/>
      <c r="F409" s="487"/>
      <c r="G409" s="487"/>
      <c r="H409" s="488"/>
    </row>
    <row r="410" spans="1:8" x14ac:dyDescent="0.2">
      <c r="A410" s="151">
        <v>2320</v>
      </c>
      <c r="B410" s="487" t="s">
        <v>3891</v>
      </c>
      <c r="C410" s="487"/>
      <c r="D410" s="487"/>
      <c r="E410" s="487"/>
      <c r="F410" s="487"/>
      <c r="G410" s="487"/>
      <c r="H410" s="488"/>
    </row>
    <row r="411" spans="1:8" x14ac:dyDescent="0.2">
      <c r="A411" s="151">
        <v>2331</v>
      </c>
      <c r="B411" s="487" t="s">
        <v>3567</v>
      </c>
      <c r="C411" s="487"/>
      <c r="D411" s="487"/>
      <c r="E411" s="487"/>
      <c r="F411" s="487"/>
      <c r="G411" s="487"/>
      <c r="H411" s="488"/>
    </row>
    <row r="412" spans="1:8" x14ac:dyDescent="0.2">
      <c r="A412" s="151">
        <v>2332</v>
      </c>
      <c r="B412" s="487" t="s">
        <v>1367</v>
      </c>
      <c r="C412" s="487"/>
      <c r="D412" s="487"/>
      <c r="E412" s="487"/>
      <c r="F412" s="487"/>
      <c r="G412" s="487"/>
      <c r="H412" s="488"/>
    </row>
    <row r="413" spans="1:8" x14ac:dyDescent="0.2">
      <c r="A413" s="151">
        <v>2341</v>
      </c>
      <c r="B413" s="487" t="s">
        <v>4069</v>
      </c>
      <c r="C413" s="487"/>
      <c r="D413" s="487"/>
      <c r="E413" s="487"/>
      <c r="F413" s="487"/>
      <c r="G413" s="487"/>
      <c r="H413" s="488"/>
    </row>
    <row r="414" spans="1:8" x14ac:dyDescent="0.2">
      <c r="A414" s="151">
        <v>2342</v>
      </c>
      <c r="B414" s="487" t="s">
        <v>4070</v>
      </c>
      <c r="C414" s="487"/>
      <c r="D414" s="487"/>
      <c r="E414" s="487"/>
      <c r="F414" s="487"/>
      <c r="G414" s="487"/>
      <c r="H414" s="488"/>
    </row>
    <row r="415" spans="1:8" x14ac:dyDescent="0.2">
      <c r="A415" s="151">
        <v>2343</v>
      </c>
      <c r="B415" s="487" t="s">
        <v>4071</v>
      </c>
      <c r="C415" s="487"/>
      <c r="D415" s="487"/>
      <c r="E415" s="487"/>
      <c r="F415" s="487"/>
      <c r="G415" s="487"/>
      <c r="H415" s="488"/>
    </row>
    <row r="416" spans="1:8" x14ac:dyDescent="0.2">
      <c r="A416" s="151">
        <v>2344</v>
      </c>
      <c r="B416" s="487" t="s">
        <v>1699</v>
      </c>
      <c r="C416" s="487"/>
      <c r="D416" s="487"/>
      <c r="E416" s="487"/>
      <c r="F416" s="487"/>
      <c r="G416" s="487"/>
      <c r="H416" s="488"/>
    </row>
    <row r="417" spans="1:8" x14ac:dyDescent="0.2">
      <c r="A417" s="151">
        <v>2349</v>
      </c>
      <c r="B417" s="487" t="s">
        <v>2302</v>
      </c>
      <c r="C417" s="487"/>
      <c r="D417" s="487"/>
      <c r="E417" s="487"/>
      <c r="F417" s="487"/>
      <c r="G417" s="487"/>
      <c r="H417" s="488"/>
    </row>
    <row r="418" spans="1:8" x14ac:dyDescent="0.2">
      <c r="A418" s="151">
        <v>2351</v>
      </c>
      <c r="B418" s="487" t="s">
        <v>3568</v>
      </c>
      <c r="C418" s="487"/>
      <c r="D418" s="487"/>
      <c r="E418" s="487"/>
      <c r="F418" s="487"/>
      <c r="G418" s="487"/>
      <c r="H418" s="488"/>
    </row>
    <row r="419" spans="1:8" x14ac:dyDescent="0.2">
      <c r="A419" s="151">
        <v>2352</v>
      </c>
      <c r="B419" s="487" t="s">
        <v>2303</v>
      </c>
      <c r="C419" s="487"/>
      <c r="D419" s="487"/>
      <c r="E419" s="487"/>
      <c r="F419" s="487"/>
      <c r="G419" s="487"/>
      <c r="H419" s="488"/>
    </row>
    <row r="420" spans="1:8" x14ac:dyDescent="0.2">
      <c r="A420" s="151">
        <v>2361</v>
      </c>
      <c r="B420" s="487" t="s">
        <v>2304</v>
      </c>
      <c r="C420" s="487"/>
      <c r="D420" s="487"/>
      <c r="E420" s="487"/>
      <c r="F420" s="487"/>
      <c r="G420" s="487"/>
      <c r="H420" s="488"/>
    </row>
    <row r="421" spans="1:8" x14ac:dyDescent="0.2">
      <c r="A421" s="151">
        <v>2362</v>
      </c>
      <c r="B421" s="487" t="s">
        <v>2305</v>
      </c>
      <c r="C421" s="487"/>
      <c r="D421" s="487"/>
      <c r="E421" s="487"/>
      <c r="F421" s="487"/>
      <c r="G421" s="487"/>
      <c r="H421" s="488"/>
    </row>
    <row r="422" spans="1:8" x14ac:dyDescent="0.2">
      <c r="A422" s="151">
        <v>2363</v>
      </c>
      <c r="B422" s="487" t="s">
        <v>769</v>
      </c>
      <c r="C422" s="487"/>
      <c r="D422" s="487"/>
      <c r="E422" s="487"/>
      <c r="F422" s="487"/>
      <c r="G422" s="487"/>
      <c r="H422" s="488"/>
    </row>
    <row r="423" spans="1:8" x14ac:dyDescent="0.2">
      <c r="A423" s="151">
        <v>2364</v>
      </c>
      <c r="B423" s="487" t="s">
        <v>770</v>
      </c>
      <c r="C423" s="487"/>
      <c r="D423" s="487"/>
      <c r="E423" s="487"/>
      <c r="F423" s="487"/>
      <c r="G423" s="487"/>
      <c r="H423" s="488"/>
    </row>
    <row r="424" spans="1:8" x14ac:dyDescent="0.2">
      <c r="A424" s="151">
        <v>2365</v>
      </c>
      <c r="B424" s="487" t="s">
        <v>771</v>
      </c>
      <c r="C424" s="487"/>
      <c r="D424" s="487"/>
      <c r="E424" s="487"/>
      <c r="F424" s="487"/>
      <c r="G424" s="487"/>
      <c r="H424" s="488"/>
    </row>
    <row r="425" spans="1:8" x14ac:dyDescent="0.2">
      <c r="A425" s="151">
        <v>2369</v>
      </c>
      <c r="B425" s="487" t="s">
        <v>2306</v>
      </c>
      <c r="C425" s="487"/>
      <c r="D425" s="487"/>
      <c r="E425" s="487"/>
      <c r="F425" s="487"/>
      <c r="G425" s="487"/>
      <c r="H425" s="488"/>
    </row>
    <row r="426" spans="1:8" x14ac:dyDescent="0.2">
      <c r="A426" s="151">
        <v>2370</v>
      </c>
      <c r="B426" s="487" t="s">
        <v>2307</v>
      </c>
      <c r="C426" s="487"/>
      <c r="D426" s="487"/>
      <c r="E426" s="487"/>
      <c r="F426" s="487"/>
      <c r="G426" s="487"/>
      <c r="H426" s="488"/>
    </row>
    <row r="427" spans="1:8" x14ac:dyDescent="0.2">
      <c r="A427" s="151">
        <v>2391</v>
      </c>
      <c r="B427" s="487" t="s">
        <v>1511</v>
      </c>
      <c r="C427" s="487"/>
      <c r="D427" s="487"/>
      <c r="E427" s="487"/>
      <c r="F427" s="487"/>
      <c r="G427" s="487"/>
      <c r="H427" s="488"/>
    </row>
    <row r="428" spans="1:8" x14ac:dyDescent="0.2">
      <c r="A428" s="151">
        <v>2399</v>
      </c>
      <c r="B428" s="487" t="s">
        <v>2308</v>
      </c>
      <c r="C428" s="487"/>
      <c r="D428" s="487"/>
      <c r="E428" s="487"/>
      <c r="F428" s="487"/>
      <c r="G428" s="487"/>
      <c r="H428" s="488"/>
    </row>
    <row r="429" spans="1:8" x14ac:dyDescent="0.2">
      <c r="A429" s="151">
        <v>2410</v>
      </c>
      <c r="B429" s="487" t="s">
        <v>2309</v>
      </c>
      <c r="C429" s="487"/>
      <c r="D429" s="487"/>
      <c r="E429" s="487"/>
      <c r="F429" s="487"/>
      <c r="G429" s="487"/>
      <c r="H429" s="488"/>
    </row>
    <row r="430" spans="1:8" x14ac:dyDescent="0.2">
      <c r="A430" s="151">
        <v>2420</v>
      </c>
      <c r="B430" s="487" t="s">
        <v>2310</v>
      </c>
      <c r="C430" s="487"/>
      <c r="D430" s="487"/>
      <c r="E430" s="487"/>
      <c r="F430" s="487"/>
      <c r="G430" s="487"/>
      <c r="H430" s="488"/>
    </row>
    <row r="431" spans="1:8" x14ac:dyDescent="0.2">
      <c r="A431" s="151">
        <v>2431</v>
      </c>
      <c r="B431" s="487" t="s">
        <v>2311</v>
      </c>
      <c r="C431" s="487"/>
      <c r="D431" s="487"/>
      <c r="E431" s="487"/>
      <c r="F431" s="487"/>
      <c r="G431" s="487"/>
      <c r="H431" s="488"/>
    </row>
    <row r="432" spans="1:8" x14ac:dyDescent="0.2">
      <c r="A432" s="151">
        <v>2432</v>
      </c>
      <c r="B432" s="487" t="s">
        <v>1602</v>
      </c>
      <c r="C432" s="487"/>
      <c r="D432" s="487"/>
      <c r="E432" s="487"/>
      <c r="F432" s="487"/>
      <c r="G432" s="487"/>
      <c r="H432" s="488"/>
    </row>
    <row r="433" spans="1:8" x14ac:dyDescent="0.2">
      <c r="A433" s="151">
        <v>2433</v>
      </c>
      <c r="B433" s="487" t="s">
        <v>1603</v>
      </c>
      <c r="C433" s="487"/>
      <c r="D433" s="487"/>
      <c r="E433" s="487"/>
      <c r="F433" s="487"/>
      <c r="G433" s="487"/>
      <c r="H433" s="488"/>
    </row>
    <row r="434" spans="1:8" x14ac:dyDescent="0.2">
      <c r="A434" s="151">
        <v>2434</v>
      </c>
      <c r="B434" s="487" t="s">
        <v>1604</v>
      </c>
      <c r="C434" s="487"/>
      <c r="D434" s="487"/>
      <c r="E434" s="487"/>
      <c r="F434" s="487"/>
      <c r="G434" s="487"/>
      <c r="H434" s="488"/>
    </row>
    <row r="435" spans="1:8" x14ac:dyDescent="0.2">
      <c r="A435" s="151">
        <v>2441</v>
      </c>
      <c r="B435" s="487" t="s">
        <v>1512</v>
      </c>
      <c r="C435" s="487"/>
      <c r="D435" s="487"/>
      <c r="E435" s="487"/>
      <c r="F435" s="487"/>
      <c r="G435" s="487"/>
      <c r="H435" s="488"/>
    </row>
    <row r="436" spans="1:8" x14ac:dyDescent="0.2">
      <c r="A436" s="151">
        <v>2442</v>
      </c>
      <c r="B436" s="487" t="s">
        <v>1513</v>
      </c>
      <c r="C436" s="487"/>
      <c r="D436" s="487"/>
      <c r="E436" s="487"/>
      <c r="F436" s="487"/>
      <c r="G436" s="487"/>
      <c r="H436" s="488"/>
    </row>
    <row r="437" spans="1:8" x14ac:dyDescent="0.2">
      <c r="A437" s="151">
        <v>2443</v>
      </c>
      <c r="B437" s="487" t="s">
        <v>1605</v>
      </c>
      <c r="C437" s="487"/>
      <c r="D437" s="487"/>
      <c r="E437" s="487"/>
      <c r="F437" s="487"/>
      <c r="G437" s="487"/>
      <c r="H437" s="488"/>
    </row>
    <row r="438" spans="1:8" x14ac:dyDescent="0.2">
      <c r="A438" s="151">
        <v>2444</v>
      </c>
      <c r="B438" s="487" t="s">
        <v>1514</v>
      </c>
      <c r="C438" s="487"/>
      <c r="D438" s="487"/>
      <c r="E438" s="487"/>
      <c r="F438" s="487"/>
      <c r="G438" s="487"/>
      <c r="H438" s="488"/>
    </row>
    <row r="439" spans="1:8" x14ac:dyDescent="0.2">
      <c r="A439" s="151">
        <v>2445</v>
      </c>
      <c r="B439" s="487" t="s">
        <v>1515</v>
      </c>
      <c r="C439" s="487"/>
      <c r="D439" s="487"/>
      <c r="E439" s="487"/>
      <c r="F439" s="487"/>
      <c r="G439" s="487"/>
      <c r="H439" s="488"/>
    </row>
    <row r="440" spans="1:8" x14ac:dyDescent="0.2">
      <c r="A440" s="151">
        <v>2446</v>
      </c>
      <c r="B440" s="487" t="s">
        <v>1606</v>
      </c>
      <c r="C440" s="487"/>
      <c r="D440" s="487"/>
      <c r="E440" s="487"/>
      <c r="F440" s="487"/>
      <c r="G440" s="487"/>
      <c r="H440" s="488"/>
    </row>
    <row r="441" spans="1:8" x14ac:dyDescent="0.2">
      <c r="A441" s="151">
        <v>2451</v>
      </c>
      <c r="B441" s="487" t="s">
        <v>1516</v>
      </c>
      <c r="C441" s="487"/>
      <c r="D441" s="487"/>
      <c r="E441" s="487"/>
      <c r="F441" s="487"/>
      <c r="G441" s="487"/>
      <c r="H441" s="488"/>
    </row>
    <row r="442" spans="1:8" x14ac:dyDescent="0.2">
      <c r="A442" s="151">
        <v>2452</v>
      </c>
      <c r="B442" s="487" t="s">
        <v>1517</v>
      </c>
      <c r="C442" s="487"/>
      <c r="D442" s="487"/>
      <c r="E442" s="487"/>
      <c r="F442" s="487"/>
      <c r="G442" s="487"/>
      <c r="H442" s="488"/>
    </row>
    <row r="443" spans="1:8" x14ac:dyDescent="0.2">
      <c r="A443" s="151">
        <v>2453</v>
      </c>
      <c r="B443" s="487" t="s">
        <v>1607</v>
      </c>
      <c r="C443" s="487"/>
      <c r="D443" s="487"/>
      <c r="E443" s="487"/>
      <c r="F443" s="487"/>
      <c r="G443" s="487"/>
      <c r="H443" s="488"/>
    </row>
    <row r="444" spans="1:8" x14ac:dyDescent="0.2">
      <c r="A444" s="151">
        <v>2454</v>
      </c>
      <c r="B444" s="487" t="s">
        <v>1608</v>
      </c>
      <c r="C444" s="487"/>
      <c r="D444" s="487"/>
      <c r="E444" s="487"/>
      <c r="F444" s="487"/>
      <c r="G444" s="487"/>
      <c r="H444" s="488"/>
    </row>
    <row r="445" spans="1:8" x14ac:dyDescent="0.2">
      <c r="A445" s="151">
        <v>2511</v>
      </c>
      <c r="B445" s="487" t="s">
        <v>3515</v>
      </c>
      <c r="C445" s="487"/>
      <c r="D445" s="487"/>
      <c r="E445" s="487"/>
      <c r="F445" s="487"/>
      <c r="G445" s="487"/>
      <c r="H445" s="488"/>
    </row>
    <row r="446" spans="1:8" x14ac:dyDescent="0.2">
      <c r="A446" s="151">
        <v>2512</v>
      </c>
      <c r="B446" s="487" t="s">
        <v>3516</v>
      </c>
      <c r="C446" s="487"/>
      <c r="D446" s="487"/>
      <c r="E446" s="487"/>
      <c r="F446" s="487"/>
      <c r="G446" s="487"/>
      <c r="H446" s="488"/>
    </row>
    <row r="447" spans="1:8" x14ac:dyDescent="0.2">
      <c r="A447" s="151">
        <v>2521</v>
      </c>
      <c r="B447" s="487" t="s">
        <v>663</v>
      </c>
      <c r="C447" s="487"/>
      <c r="D447" s="487"/>
      <c r="E447" s="487"/>
      <c r="F447" s="487"/>
      <c r="G447" s="487"/>
      <c r="H447" s="488"/>
    </row>
    <row r="448" spans="1:8" x14ac:dyDescent="0.2">
      <c r="A448" s="151">
        <v>2529</v>
      </c>
      <c r="B448" s="487" t="s">
        <v>1089</v>
      </c>
      <c r="C448" s="487"/>
      <c r="D448" s="487"/>
      <c r="E448" s="487"/>
      <c r="F448" s="487"/>
      <c r="G448" s="487"/>
      <c r="H448" s="488"/>
    </row>
    <row r="449" spans="1:8" x14ac:dyDescent="0.2">
      <c r="A449" s="151">
        <v>2530</v>
      </c>
      <c r="B449" s="487" t="s">
        <v>2572</v>
      </c>
      <c r="C449" s="487"/>
      <c r="D449" s="487"/>
      <c r="E449" s="487"/>
      <c r="F449" s="487"/>
      <c r="G449" s="487"/>
      <c r="H449" s="488"/>
    </row>
    <row r="450" spans="1:8" x14ac:dyDescent="0.2">
      <c r="A450" s="151">
        <v>2540</v>
      </c>
      <c r="B450" s="487" t="s">
        <v>4137</v>
      </c>
      <c r="C450" s="487"/>
      <c r="D450" s="487"/>
      <c r="E450" s="487"/>
      <c r="F450" s="487"/>
      <c r="G450" s="487"/>
      <c r="H450" s="488"/>
    </row>
    <row r="451" spans="1:8" x14ac:dyDescent="0.2">
      <c r="A451" s="151">
        <v>2550</v>
      </c>
      <c r="B451" s="487" t="s">
        <v>4138</v>
      </c>
      <c r="C451" s="487"/>
      <c r="D451" s="487"/>
      <c r="E451" s="487"/>
      <c r="F451" s="487"/>
      <c r="G451" s="487"/>
      <c r="H451" s="488"/>
    </row>
    <row r="452" spans="1:8" x14ac:dyDescent="0.2">
      <c r="A452" s="151">
        <v>2561</v>
      </c>
      <c r="B452" s="487" t="s">
        <v>4139</v>
      </c>
      <c r="C452" s="487"/>
      <c r="D452" s="487"/>
      <c r="E452" s="487"/>
      <c r="F452" s="487"/>
      <c r="G452" s="487"/>
      <c r="H452" s="488"/>
    </row>
    <row r="453" spans="1:8" x14ac:dyDescent="0.2">
      <c r="A453" s="151">
        <v>2562</v>
      </c>
      <c r="B453" s="487" t="s">
        <v>4140</v>
      </c>
      <c r="C453" s="487"/>
      <c r="D453" s="487"/>
      <c r="E453" s="487"/>
      <c r="F453" s="487"/>
      <c r="G453" s="487"/>
      <c r="H453" s="488"/>
    </row>
    <row r="454" spans="1:8" x14ac:dyDescent="0.2">
      <c r="A454" s="151">
        <v>2571</v>
      </c>
      <c r="B454" s="487" t="s">
        <v>987</v>
      </c>
      <c r="C454" s="487"/>
      <c r="D454" s="487"/>
      <c r="E454" s="487"/>
      <c r="F454" s="487"/>
      <c r="G454" s="487"/>
      <c r="H454" s="488"/>
    </row>
    <row r="455" spans="1:8" x14ac:dyDescent="0.2">
      <c r="A455" s="151">
        <v>2572</v>
      </c>
      <c r="B455" s="487" t="s">
        <v>989</v>
      </c>
      <c r="C455" s="487"/>
      <c r="D455" s="487"/>
      <c r="E455" s="487"/>
      <c r="F455" s="487"/>
      <c r="G455" s="487"/>
      <c r="H455" s="488"/>
    </row>
    <row r="456" spans="1:8" x14ac:dyDescent="0.2">
      <c r="A456" s="151">
        <v>2573</v>
      </c>
      <c r="B456" s="487" t="s">
        <v>988</v>
      </c>
      <c r="C456" s="487"/>
      <c r="D456" s="487"/>
      <c r="E456" s="487"/>
      <c r="F456" s="487"/>
      <c r="G456" s="487"/>
      <c r="H456" s="488"/>
    </row>
    <row r="457" spans="1:8" x14ac:dyDescent="0.2">
      <c r="A457" s="151">
        <v>2591</v>
      </c>
      <c r="B457" s="487" t="s">
        <v>4141</v>
      </c>
      <c r="C457" s="487"/>
      <c r="D457" s="487"/>
      <c r="E457" s="487"/>
      <c r="F457" s="487"/>
      <c r="G457" s="487"/>
      <c r="H457" s="488"/>
    </row>
    <row r="458" spans="1:8" x14ac:dyDescent="0.2">
      <c r="A458" s="151">
        <v>2592</v>
      </c>
      <c r="B458" s="487" t="s">
        <v>4142</v>
      </c>
      <c r="C458" s="487"/>
      <c r="D458" s="487"/>
      <c r="E458" s="487"/>
      <c r="F458" s="487"/>
      <c r="G458" s="487"/>
      <c r="H458" s="488"/>
    </row>
    <row r="459" spans="1:8" x14ac:dyDescent="0.2">
      <c r="A459" s="151">
        <v>2593</v>
      </c>
      <c r="B459" s="487" t="s">
        <v>4143</v>
      </c>
      <c r="C459" s="487"/>
      <c r="D459" s="487"/>
      <c r="E459" s="487"/>
      <c r="F459" s="487"/>
      <c r="G459" s="487"/>
      <c r="H459" s="488"/>
    </row>
    <row r="460" spans="1:8" x14ac:dyDescent="0.2">
      <c r="A460" s="151">
        <v>2594</v>
      </c>
      <c r="B460" s="487" t="s">
        <v>4144</v>
      </c>
      <c r="C460" s="487"/>
      <c r="D460" s="487"/>
      <c r="E460" s="487"/>
      <c r="F460" s="487"/>
      <c r="G460" s="487"/>
      <c r="H460" s="488"/>
    </row>
    <row r="461" spans="1:8" x14ac:dyDescent="0.2">
      <c r="A461" s="151">
        <v>2599</v>
      </c>
      <c r="B461" s="487" t="s">
        <v>3692</v>
      </c>
      <c r="C461" s="487"/>
      <c r="D461" s="487"/>
      <c r="E461" s="487"/>
      <c r="F461" s="487"/>
      <c r="G461" s="487"/>
      <c r="H461" s="488"/>
    </row>
    <row r="462" spans="1:8" x14ac:dyDescent="0.2">
      <c r="A462" s="151">
        <v>2611</v>
      </c>
      <c r="B462" s="487" t="s">
        <v>3693</v>
      </c>
      <c r="C462" s="487"/>
      <c r="D462" s="487"/>
      <c r="E462" s="487"/>
      <c r="F462" s="487"/>
      <c r="G462" s="487"/>
      <c r="H462" s="488"/>
    </row>
    <row r="463" spans="1:8" x14ac:dyDescent="0.2">
      <c r="A463" s="151">
        <v>2612</v>
      </c>
      <c r="B463" s="487" t="s">
        <v>1824</v>
      </c>
      <c r="C463" s="487"/>
      <c r="D463" s="487"/>
      <c r="E463" s="487"/>
      <c r="F463" s="487"/>
      <c r="G463" s="487"/>
      <c r="H463" s="488"/>
    </row>
    <row r="464" spans="1:8" x14ac:dyDescent="0.2">
      <c r="A464" s="151">
        <v>2620</v>
      </c>
      <c r="B464" s="487" t="s">
        <v>1655</v>
      </c>
      <c r="C464" s="487"/>
      <c r="D464" s="487"/>
      <c r="E464" s="487"/>
      <c r="F464" s="487"/>
      <c r="G464" s="487"/>
      <c r="H464" s="488"/>
    </row>
    <row r="465" spans="1:8" x14ac:dyDescent="0.2">
      <c r="A465" s="151">
        <v>2630</v>
      </c>
      <c r="B465" s="487" t="s">
        <v>1656</v>
      </c>
      <c r="C465" s="487"/>
      <c r="D465" s="487"/>
      <c r="E465" s="487"/>
      <c r="F465" s="487"/>
      <c r="G465" s="487"/>
      <c r="H465" s="488"/>
    </row>
    <row r="466" spans="1:8" x14ac:dyDescent="0.2">
      <c r="A466" s="151">
        <v>2640</v>
      </c>
      <c r="B466" s="487" t="s">
        <v>1657</v>
      </c>
      <c r="C466" s="487"/>
      <c r="D466" s="487"/>
      <c r="E466" s="487"/>
      <c r="F466" s="487"/>
      <c r="G466" s="487"/>
      <c r="H466" s="488"/>
    </row>
    <row r="467" spans="1:8" x14ac:dyDescent="0.2">
      <c r="A467" s="151">
        <v>2651</v>
      </c>
      <c r="B467" s="487" t="s">
        <v>1658</v>
      </c>
      <c r="C467" s="487"/>
      <c r="D467" s="487"/>
      <c r="E467" s="487"/>
      <c r="F467" s="487"/>
      <c r="G467" s="487"/>
      <c r="H467" s="488"/>
    </row>
    <row r="468" spans="1:8" x14ac:dyDescent="0.2">
      <c r="A468" s="151">
        <v>2652</v>
      </c>
      <c r="B468" s="487" t="s">
        <v>1659</v>
      </c>
      <c r="C468" s="487"/>
      <c r="D468" s="487"/>
      <c r="E468" s="487"/>
      <c r="F468" s="487"/>
      <c r="G468" s="487"/>
      <c r="H468" s="488"/>
    </row>
    <row r="469" spans="1:8" x14ac:dyDescent="0.2">
      <c r="A469" s="151">
        <v>2660</v>
      </c>
      <c r="B469" s="487" t="s">
        <v>1660</v>
      </c>
      <c r="C469" s="487"/>
      <c r="D469" s="487"/>
      <c r="E469" s="487"/>
      <c r="F469" s="487"/>
      <c r="G469" s="487"/>
      <c r="H469" s="488"/>
    </row>
    <row r="470" spans="1:8" x14ac:dyDescent="0.2">
      <c r="A470" s="151">
        <v>2670</v>
      </c>
      <c r="B470" s="487" t="s">
        <v>3432</v>
      </c>
      <c r="C470" s="487"/>
      <c r="D470" s="487"/>
      <c r="E470" s="487"/>
      <c r="F470" s="487"/>
      <c r="G470" s="487"/>
      <c r="H470" s="488"/>
    </row>
    <row r="471" spans="1:8" x14ac:dyDescent="0.2">
      <c r="A471" s="151">
        <v>2680</v>
      </c>
      <c r="B471" s="487" t="s">
        <v>3433</v>
      </c>
      <c r="C471" s="487"/>
      <c r="D471" s="487"/>
      <c r="E471" s="487"/>
      <c r="F471" s="487"/>
      <c r="G471" s="487"/>
      <c r="H471" s="488"/>
    </row>
    <row r="472" spans="1:8" x14ac:dyDescent="0.2">
      <c r="A472" s="151">
        <v>2711</v>
      </c>
      <c r="B472" s="487" t="s">
        <v>3434</v>
      </c>
      <c r="C472" s="487"/>
      <c r="D472" s="487"/>
      <c r="E472" s="487"/>
      <c r="F472" s="487"/>
      <c r="G472" s="487"/>
      <c r="H472" s="488"/>
    </row>
    <row r="473" spans="1:8" x14ac:dyDescent="0.2">
      <c r="A473" s="151">
        <v>2712</v>
      </c>
      <c r="B473" s="487" t="s">
        <v>3435</v>
      </c>
      <c r="C473" s="487"/>
      <c r="D473" s="487"/>
      <c r="E473" s="487"/>
      <c r="F473" s="487"/>
      <c r="G473" s="487"/>
      <c r="H473" s="488"/>
    </row>
    <row r="474" spans="1:8" x14ac:dyDescent="0.2">
      <c r="A474" s="151">
        <v>2720</v>
      </c>
      <c r="B474" s="487" t="s">
        <v>3436</v>
      </c>
      <c r="C474" s="487"/>
      <c r="D474" s="487"/>
      <c r="E474" s="487"/>
      <c r="F474" s="487"/>
      <c r="G474" s="487"/>
      <c r="H474" s="488"/>
    </row>
    <row r="475" spans="1:8" x14ac:dyDescent="0.2">
      <c r="A475" s="151">
        <v>2731</v>
      </c>
      <c r="B475" s="487" t="s">
        <v>3223</v>
      </c>
      <c r="C475" s="487"/>
      <c r="D475" s="487"/>
      <c r="E475" s="487"/>
      <c r="F475" s="487"/>
      <c r="G475" s="487"/>
      <c r="H475" s="488"/>
    </row>
    <row r="476" spans="1:8" x14ac:dyDescent="0.2">
      <c r="A476" s="151">
        <v>2732</v>
      </c>
      <c r="B476" s="487" t="s">
        <v>3224</v>
      </c>
      <c r="C476" s="487"/>
      <c r="D476" s="487"/>
      <c r="E476" s="487"/>
      <c r="F476" s="487"/>
      <c r="G476" s="487"/>
      <c r="H476" s="488"/>
    </row>
    <row r="477" spans="1:8" x14ac:dyDescent="0.2">
      <c r="A477" s="151">
        <v>2733</v>
      </c>
      <c r="B477" s="487" t="s">
        <v>126</v>
      </c>
      <c r="C477" s="487"/>
      <c r="D477" s="487"/>
      <c r="E477" s="487"/>
      <c r="F477" s="487"/>
      <c r="G477" s="487"/>
      <c r="H477" s="488"/>
    </row>
    <row r="478" spans="1:8" x14ac:dyDescent="0.2">
      <c r="A478" s="151">
        <v>2740</v>
      </c>
      <c r="B478" s="487" t="s">
        <v>2452</v>
      </c>
      <c r="C478" s="487"/>
      <c r="D478" s="487"/>
      <c r="E478" s="487"/>
      <c r="F478" s="487"/>
      <c r="G478" s="487"/>
      <c r="H478" s="488"/>
    </row>
    <row r="479" spans="1:8" x14ac:dyDescent="0.2">
      <c r="A479" s="151">
        <v>2751</v>
      </c>
      <c r="B479" s="487" t="s">
        <v>2453</v>
      </c>
      <c r="C479" s="487"/>
      <c r="D479" s="487"/>
      <c r="E479" s="487"/>
      <c r="F479" s="487"/>
      <c r="G479" s="487"/>
      <c r="H479" s="488"/>
    </row>
    <row r="480" spans="1:8" x14ac:dyDescent="0.2">
      <c r="A480" s="151">
        <v>2752</v>
      </c>
      <c r="B480" s="487" t="s">
        <v>2454</v>
      </c>
      <c r="C480" s="487"/>
      <c r="D480" s="487"/>
      <c r="E480" s="487"/>
      <c r="F480" s="487"/>
      <c r="G480" s="487"/>
      <c r="H480" s="488"/>
    </row>
    <row r="481" spans="1:8" x14ac:dyDescent="0.2">
      <c r="A481" s="151">
        <v>2790</v>
      </c>
      <c r="B481" s="487" t="s">
        <v>2455</v>
      </c>
      <c r="C481" s="487"/>
      <c r="D481" s="487"/>
      <c r="E481" s="487"/>
      <c r="F481" s="487"/>
      <c r="G481" s="487"/>
      <c r="H481" s="488"/>
    </row>
    <row r="482" spans="1:8" x14ac:dyDescent="0.2">
      <c r="A482" s="151">
        <v>2811</v>
      </c>
      <c r="B482" s="487" t="s">
        <v>4013</v>
      </c>
      <c r="C482" s="487"/>
      <c r="D482" s="487"/>
      <c r="E482" s="487"/>
      <c r="F482" s="487"/>
      <c r="G482" s="487"/>
      <c r="H482" s="488"/>
    </row>
    <row r="483" spans="1:8" x14ac:dyDescent="0.2">
      <c r="A483" s="151">
        <v>2812</v>
      </c>
      <c r="B483" s="487" t="s">
        <v>4014</v>
      </c>
      <c r="C483" s="487"/>
      <c r="D483" s="487"/>
      <c r="E483" s="487"/>
      <c r="F483" s="487"/>
      <c r="G483" s="487"/>
      <c r="H483" s="488"/>
    </row>
    <row r="484" spans="1:8" x14ac:dyDescent="0.2">
      <c r="A484" s="151">
        <v>2813</v>
      </c>
      <c r="B484" s="487" t="s">
        <v>4015</v>
      </c>
      <c r="C484" s="487"/>
      <c r="D484" s="487"/>
      <c r="E484" s="487"/>
      <c r="F484" s="487"/>
      <c r="G484" s="487"/>
      <c r="H484" s="488"/>
    </row>
    <row r="485" spans="1:8" x14ac:dyDescent="0.2">
      <c r="A485" s="151">
        <v>2814</v>
      </c>
      <c r="B485" s="487" t="s">
        <v>2332</v>
      </c>
      <c r="C485" s="487"/>
      <c r="D485" s="487"/>
      <c r="E485" s="487"/>
      <c r="F485" s="487"/>
      <c r="G485" s="487"/>
      <c r="H485" s="488"/>
    </row>
    <row r="486" spans="1:8" x14ac:dyDescent="0.2">
      <c r="A486" s="151">
        <v>2815</v>
      </c>
      <c r="B486" s="487" t="s">
        <v>3319</v>
      </c>
      <c r="C486" s="487"/>
      <c r="D486" s="487"/>
      <c r="E486" s="487"/>
      <c r="F486" s="487"/>
      <c r="G486" s="487"/>
      <c r="H486" s="488"/>
    </row>
    <row r="487" spans="1:8" x14ac:dyDescent="0.2">
      <c r="A487" s="151">
        <v>2821</v>
      </c>
      <c r="B487" s="487" t="s">
        <v>1878</v>
      </c>
      <c r="C487" s="487"/>
      <c r="D487" s="487"/>
      <c r="E487" s="487"/>
      <c r="F487" s="487"/>
      <c r="G487" s="487"/>
      <c r="H487" s="488"/>
    </row>
    <row r="488" spans="1:8" x14ac:dyDescent="0.2">
      <c r="A488" s="151">
        <v>2822</v>
      </c>
      <c r="B488" s="487" t="s">
        <v>990</v>
      </c>
      <c r="C488" s="487"/>
      <c r="D488" s="487"/>
      <c r="E488" s="487"/>
      <c r="F488" s="487"/>
      <c r="G488" s="487"/>
      <c r="H488" s="488"/>
    </row>
    <row r="489" spans="1:8" x14ac:dyDescent="0.2">
      <c r="A489" s="151">
        <v>2823</v>
      </c>
      <c r="B489" s="487" t="s">
        <v>2228</v>
      </c>
      <c r="C489" s="487"/>
      <c r="D489" s="487"/>
      <c r="E489" s="487"/>
      <c r="F489" s="487"/>
      <c r="G489" s="487"/>
      <c r="H489" s="488"/>
    </row>
    <row r="490" spans="1:8" x14ac:dyDescent="0.2">
      <c r="A490" s="151">
        <v>2824</v>
      </c>
      <c r="B490" s="487" t="s">
        <v>2229</v>
      </c>
      <c r="C490" s="487"/>
      <c r="D490" s="487"/>
      <c r="E490" s="487"/>
      <c r="F490" s="487"/>
      <c r="G490" s="487"/>
      <c r="H490" s="488"/>
    </row>
    <row r="491" spans="1:8" x14ac:dyDescent="0.2">
      <c r="A491" s="151">
        <v>2825</v>
      </c>
      <c r="B491" s="487" t="s">
        <v>2230</v>
      </c>
      <c r="C491" s="487"/>
      <c r="D491" s="487"/>
      <c r="E491" s="487"/>
      <c r="F491" s="487"/>
      <c r="G491" s="487"/>
      <c r="H491" s="488"/>
    </row>
    <row r="492" spans="1:8" x14ac:dyDescent="0.2">
      <c r="A492" s="151">
        <v>2829</v>
      </c>
      <c r="B492" s="487" t="s">
        <v>2231</v>
      </c>
      <c r="C492" s="487"/>
      <c r="D492" s="487"/>
      <c r="E492" s="487"/>
      <c r="F492" s="487"/>
      <c r="G492" s="487"/>
      <c r="H492" s="488"/>
    </row>
    <row r="493" spans="1:8" x14ac:dyDescent="0.2">
      <c r="A493" s="151">
        <v>2830</v>
      </c>
      <c r="B493" s="487" t="s">
        <v>3628</v>
      </c>
      <c r="C493" s="487"/>
      <c r="D493" s="487"/>
      <c r="E493" s="487"/>
      <c r="F493" s="487"/>
      <c r="G493" s="487"/>
      <c r="H493" s="488"/>
    </row>
    <row r="494" spans="1:8" x14ac:dyDescent="0.2">
      <c r="A494" s="151">
        <v>2841</v>
      </c>
      <c r="B494" s="487" t="s">
        <v>3629</v>
      </c>
      <c r="C494" s="487"/>
      <c r="D494" s="487"/>
      <c r="E494" s="487"/>
      <c r="F494" s="487"/>
      <c r="G494" s="487"/>
      <c r="H494" s="488"/>
    </row>
    <row r="495" spans="1:8" x14ac:dyDescent="0.2">
      <c r="A495" s="151">
        <v>2849</v>
      </c>
      <c r="B495" s="487" t="s">
        <v>3630</v>
      </c>
      <c r="C495" s="487"/>
      <c r="D495" s="487"/>
      <c r="E495" s="487"/>
      <c r="F495" s="487"/>
      <c r="G495" s="487"/>
      <c r="H495" s="488"/>
    </row>
    <row r="496" spans="1:8" x14ac:dyDescent="0.2">
      <c r="A496" s="151">
        <v>2891</v>
      </c>
      <c r="B496" s="487" t="s">
        <v>991</v>
      </c>
      <c r="C496" s="487"/>
      <c r="D496" s="487"/>
      <c r="E496" s="487"/>
      <c r="F496" s="487"/>
      <c r="G496" s="487"/>
      <c r="H496" s="488"/>
    </row>
    <row r="497" spans="1:8" x14ac:dyDescent="0.2">
      <c r="A497" s="151">
        <v>2892</v>
      </c>
      <c r="B497" s="487" t="s">
        <v>3631</v>
      </c>
      <c r="C497" s="487"/>
      <c r="D497" s="487"/>
      <c r="E497" s="487"/>
      <c r="F497" s="487"/>
      <c r="G497" s="487"/>
      <c r="H497" s="488"/>
    </row>
    <row r="498" spans="1:8" x14ac:dyDescent="0.2">
      <c r="A498" s="151">
        <v>2893</v>
      </c>
      <c r="B498" s="487" t="s">
        <v>3632</v>
      </c>
      <c r="C498" s="487"/>
      <c r="D498" s="487"/>
      <c r="E498" s="487"/>
      <c r="F498" s="487"/>
      <c r="G498" s="487"/>
      <c r="H498" s="488"/>
    </row>
    <row r="499" spans="1:8" x14ac:dyDescent="0.2">
      <c r="A499" s="151">
        <v>2894</v>
      </c>
      <c r="B499" s="487" t="s">
        <v>3633</v>
      </c>
      <c r="C499" s="487"/>
      <c r="D499" s="487"/>
      <c r="E499" s="487"/>
      <c r="F499" s="487"/>
      <c r="G499" s="487"/>
      <c r="H499" s="488"/>
    </row>
    <row r="500" spans="1:8" x14ac:dyDescent="0.2">
      <c r="A500" s="151">
        <v>2895</v>
      </c>
      <c r="B500" s="487" t="s">
        <v>3634</v>
      </c>
      <c r="C500" s="487"/>
      <c r="D500" s="487"/>
      <c r="E500" s="487"/>
      <c r="F500" s="487"/>
      <c r="G500" s="487"/>
      <c r="H500" s="488"/>
    </row>
    <row r="501" spans="1:8" x14ac:dyDescent="0.2">
      <c r="A501" s="151">
        <v>2896</v>
      </c>
      <c r="B501" s="487" t="s">
        <v>1537</v>
      </c>
      <c r="C501" s="487"/>
      <c r="D501" s="487"/>
      <c r="E501" s="487"/>
      <c r="F501" s="487"/>
      <c r="G501" s="487"/>
      <c r="H501" s="488"/>
    </row>
    <row r="502" spans="1:8" x14ac:dyDescent="0.2">
      <c r="A502" s="151">
        <v>2899</v>
      </c>
      <c r="B502" s="487" t="s">
        <v>1538</v>
      </c>
      <c r="C502" s="487"/>
      <c r="D502" s="487"/>
      <c r="E502" s="487"/>
      <c r="F502" s="487"/>
      <c r="G502" s="487"/>
      <c r="H502" s="488"/>
    </row>
    <row r="503" spans="1:8" x14ac:dyDescent="0.2">
      <c r="A503" s="151">
        <v>2910</v>
      </c>
      <c r="B503" s="487" t="s">
        <v>665</v>
      </c>
      <c r="C503" s="487"/>
      <c r="D503" s="487"/>
      <c r="E503" s="487"/>
      <c r="F503" s="487"/>
      <c r="G503" s="487"/>
      <c r="H503" s="488"/>
    </row>
    <row r="504" spans="1:8" x14ac:dyDescent="0.2">
      <c r="A504" s="151">
        <v>2920</v>
      </c>
      <c r="B504" s="487" t="s">
        <v>1539</v>
      </c>
      <c r="C504" s="487"/>
      <c r="D504" s="487"/>
      <c r="E504" s="487"/>
      <c r="F504" s="487"/>
      <c r="G504" s="487"/>
      <c r="H504" s="488"/>
    </row>
    <row r="505" spans="1:8" x14ac:dyDescent="0.2">
      <c r="A505" s="151">
        <v>2931</v>
      </c>
      <c r="B505" s="487" t="s">
        <v>1540</v>
      </c>
      <c r="C505" s="487"/>
      <c r="D505" s="487"/>
      <c r="E505" s="487"/>
      <c r="F505" s="487"/>
      <c r="G505" s="487"/>
      <c r="H505" s="488"/>
    </row>
    <row r="506" spans="1:8" x14ac:dyDescent="0.2">
      <c r="A506" s="151">
        <v>2932</v>
      </c>
      <c r="B506" s="487" t="s">
        <v>1541</v>
      </c>
      <c r="C506" s="487"/>
      <c r="D506" s="487"/>
      <c r="E506" s="487"/>
      <c r="F506" s="487"/>
      <c r="G506" s="487"/>
      <c r="H506" s="488"/>
    </row>
    <row r="507" spans="1:8" x14ac:dyDescent="0.2">
      <c r="A507" s="151">
        <v>3011</v>
      </c>
      <c r="B507" s="487" t="s">
        <v>2767</v>
      </c>
      <c r="C507" s="487"/>
      <c r="D507" s="487"/>
      <c r="E507" s="487"/>
      <c r="F507" s="487"/>
      <c r="G507" s="487"/>
      <c r="H507" s="488"/>
    </row>
    <row r="508" spans="1:8" x14ac:dyDescent="0.2">
      <c r="A508" s="151">
        <v>3012</v>
      </c>
      <c r="B508" s="487" t="s">
        <v>2768</v>
      </c>
      <c r="C508" s="487"/>
      <c r="D508" s="487"/>
      <c r="E508" s="487"/>
      <c r="F508" s="487"/>
      <c r="G508" s="487"/>
      <c r="H508" s="488"/>
    </row>
    <row r="509" spans="1:8" x14ac:dyDescent="0.2">
      <c r="A509" s="151">
        <v>3020</v>
      </c>
      <c r="B509" s="487" t="s">
        <v>319</v>
      </c>
      <c r="C509" s="487"/>
      <c r="D509" s="487"/>
      <c r="E509" s="487"/>
      <c r="F509" s="487"/>
      <c r="G509" s="487"/>
      <c r="H509" s="488"/>
    </row>
    <row r="510" spans="1:8" x14ac:dyDescent="0.2">
      <c r="A510" s="151">
        <v>3030</v>
      </c>
      <c r="B510" s="487" t="s">
        <v>3555</v>
      </c>
      <c r="C510" s="487"/>
      <c r="D510" s="487"/>
      <c r="E510" s="487"/>
      <c r="F510" s="487"/>
      <c r="G510" s="487"/>
      <c r="H510" s="488"/>
    </row>
    <row r="511" spans="1:8" x14ac:dyDescent="0.2">
      <c r="A511" s="151">
        <v>3040</v>
      </c>
      <c r="B511" s="487" t="s">
        <v>3556</v>
      </c>
      <c r="C511" s="487"/>
      <c r="D511" s="487"/>
      <c r="E511" s="487"/>
      <c r="F511" s="487"/>
      <c r="G511" s="487"/>
      <c r="H511" s="488"/>
    </row>
    <row r="512" spans="1:8" x14ac:dyDescent="0.2">
      <c r="A512" s="151">
        <v>3091</v>
      </c>
      <c r="B512" s="487" t="s">
        <v>231</v>
      </c>
      <c r="C512" s="487"/>
      <c r="D512" s="487"/>
      <c r="E512" s="487"/>
      <c r="F512" s="487"/>
      <c r="G512" s="487"/>
      <c r="H512" s="488"/>
    </row>
    <row r="513" spans="1:8" x14ac:dyDescent="0.2">
      <c r="A513" s="151">
        <v>3092</v>
      </c>
      <c r="B513" s="487" t="s">
        <v>232</v>
      </c>
      <c r="C513" s="487"/>
      <c r="D513" s="487"/>
      <c r="E513" s="487"/>
      <c r="F513" s="487"/>
      <c r="G513" s="487"/>
      <c r="H513" s="488"/>
    </row>
    <row r="514" spans="1:8" x14ac:dyDescent="0.2">
      <c r="A514" s="151">
        <v>3099</v>
      </c>
      <c r="B514" s="487" t="s">
        <v>246</v>
      </c>
      <c r="C514" s="487"/>
      <c r="D514" s="487"/>
      <c r="E514" s="487"/>
      <c r="F514" s="487"/>
      <c r="G514" s="487"/>
      <c r="H514" s="488"/>
    </row>
    <row r="515" spans="1:8" x14ac:dyDescent="0.2">
      <c r="A515" s="151">
        <v>3101</v>
      </c>
      <c r="B515" s="487" t="s">
        <v>247</v>
      </c>
      <c r="C515" s="487"/>
      <c r="D515" s="487"/>
      <c r="E515" s="487"/>
      <c r="F515" s="487"/>
      <c r="G515" s="487"/>
      <c r="H515" s="488"/>
    </row>
    <row r="516" spans="1:8" x14ac:dyDescent="0.2">
      <c r="A516" s="151">
        <v>3102</v>
      </c>
      <c r="B516" s="487" t="s">
        <v>248</v>
      </c>
      <c r="C516" s="487"/>
      <c r="D516" s="487"/>
      <c r="E516" s="487"/>
      <c r="F516" s="487"/>
      <c r="G516" s="487"/>
      <c r="H516" s="488"/>
    </row>
    <row r="517" spans="1:8" x14ac:dyDescent="0.2">
      <c r="A517" s="151">
        <v>3103</v>
      </c>
      <c r="B517" s="487" t="s">
        <v>340</v>
      </c>
      <c r="C517" s="487"/>
      <c r="D517" s="487"/>
      <c r="E517" s="487"/>
      <c r="F517" s="487"/>
      <c r="G517" s="487"/>
      <c r="H517" s="488"/>
    </row>
    <row r="518" spans="1:8" x14ac:dyDescent="0.2">
      <c r="A518" s="151">
        <v>3109</v>
      </c>
      <c r="B518" s="487" t="s">
        <v>249</v>
      </c>
      <c r="C518" s="487"/>
      <c r="D518" s="487"/>
      <c r="E518" s="487"/>
      <c r="F518" s="487"/>
      <c r="G518" s="487"/>
      <c r="H518" s="488"/>
    </row>
    <row r="519" spans="1:8" x14ac:dyDescent="0.2">
      <c r="A519" s="151">
        <v>3211</v>
      </c>
      <c r="B519" s="487" t="s">
        <v>341</v>
      </c>
      <c r="C519" s="487"/>
      <c r="D519" s="487"/>
      <c r="E519" s="487"/>
      <c r="F519" s="487"/>
      <c r="G519" s="487"/>
      <c r="H519" s="488"/>
    </row>
    <row r="520" spans="1:8" x14ac:dyDescent="0.2">
      <c r="A520" s="151">
        <v>3212</v>
      </c>
      <c r="B520" s="487" t="s">
        <v>250</v>
      </c>
      <c r="C520" s="487"/>
      <c r="D520" s="487"/>
      <c r="E520" s="487"/>
      <c r="F520" s="487"/>
      <c r="G520" s="487"/>
      <c r="H520" s="488"/>
    </row>
    <row r="521" spans="1:8" x14ac:dyDescent="0.2">
      <c r="A521" s="151">
        <v>3213</v>
      </c>
      <c r="B521" s="487" t="s">
        <v>251</v>
      </c>
      <c r="C521" s="487"/>
      <c r="D521" s="487"/>
      <c r="E521" s="487"/>
      <c r="F521" s="487"/>
      <c r="G521" s="487"/>
      <c r="H521" s="488"/>
    </row>
    <row r="522" spans="1:8" x14ac:dyDescent="0.2">
      <c r="A522" s="151">
        <v>3220</v>
      </c>
      <c r="B522" s="487" t="s">
        <v>1096</v>
      </c>
      <c r="C522" s="487"/>
      <c r="D522" s="487"/>
      <c r="E522" s="487"/>
      <c r="F522" s="487"/>
      <c r="G522" s="487"/>
      <c r="H522" s="488"/>
    </row>
    <row r="523" spans="1:8" x14ac:dyDescent="0.2">
      <c r="A523" s="151">
        <v>3230</v>
      </c>
      <c r="B523" s="487" t="s">
        <v>1097</v>
      </c>
      <c r="C523" s="487"/>
      <c r="D523" s="487"/>
      <c r="E523" s="487"/>
      <c r="F523" s="487"/>
      <c r="G523" s="487"/>
      <c r="H523" s="488"/>
    </row>
    <row r="524" spans="1:8" x14ac:dyDescent="0.2">
      <c r="A524" s="151">
        <v>3240</v>
      </c>
      <c r="B524" s="487" t="s">
        <v>1098</v>
      </c>
      <c r="C524" s="487"/>
      <c r="D524" s="487"/>
      <c r="E524" s="487"/>
      <c r="F524" s="487"/>
      <c r="G524" s="487"/>
      <c r="H524" s="488"/>
    </row>
    <row r="525" spans="1:8" x14ac:dyDescent="0.2">
      <c r="A525" s="151">
        <v>3250</v>
      </c>
      <c r="B525" s="487" t="s">
        <v>252</v>
      </c>
      <c r="C525" s="487"/>
      <c r="D525" s="487"/>
      <c r="E525" s="487"/>
      <c r="F525" s="487"/>
      <c r="G525" s="487"/>
      <c r="H525" s="488"/>
    </row>
    <row r="526" spans="1:8" x14ac:dyDescent="0.2">
      <c r="A526" s="151">
        <v>3291</v>
      </c>
      <c r="B526" s="487" t="s">
        <v>253</v>
      </c>
      <c r="C526" s="487"/>
      <c r="D526" s="487"/>
      <c r="E526" s="487"/>
      <c r="F526" s="487"/>
      <c r="G526" s="487"/>
      <c r="H526" s="488"/>
    </row>
    <row r="527" spans="1:8" x14ac:dyDescent="0.2">
      <c r="A527" s="151">
        <v>3299</v>
      </c>
      <c r="B527" s="487" t="s">
        <v>254</v>
      </c>
      <c r="C527" s="487"/>
      <c r="D527" s="487"/>
      <c r="E527" s="487"/>
      <c r="F527" s="487"/>
      <c r="G527" s="487"/>
      <c r="H527" s="488"/>
    </row>
    <row r="528" spans="1:8" x14ac:dyDescent="0.2">
      <c r="A528" s="151">
        <v>3311</v>
      </c>
      <c r="B528" s="487" t="s">
        <v>255</v>
      </c>
      <c r="C528" s="487"/>
      <c r="D528" s="487"/>
      <c r="E528" s="487"/>
      <c r="F528" s="487"/>
      <c r="G528" s="487"/>
      <c r="H528" s="488"/>
    </row>
    <row r="529" spans="1:8" x14ac:dyDescent="0.2">
      <c r="A529" s="151">
        <v>3312</v>
      </c>
      <c r="B529" s="487" t="s">
        <v>256</v>
      </c>
      <c r="C529" s="487"/>
      <c r="D529" s="487"/>
      <c r="E529" s="487"/>
      <c r="F529" s="487"/>
      <c r="G529" s="487"/>
      <c r="H529" s="488"/>
    </row>
    <row r="530" spans="1:8" x14ac:dyDescent="0.2">
      <c r="A530" s="151">
        <v>3313</v>
      </c>
      <c r="B530" s="487" t="s">
        <v>257</v>
      </c>
      <c r="C530" s="487"/>
      <c r="D530" s="487"/>
      <c r="E530" s="487"/>
      <c r="F530" s="487"/>
      <c r="G530" s="487"/>
      <c r="H530" s="488"/>
    </row>
    <row r="531" spans="1:8" x14ac:dyDescent="0.2">
      <c r="A531" s="151">
        <v>3314</v>
      </c>
      <c r="B531" s="487" t="s">
        <v>258</v>
      </c>
      <c r="C531" s="487"/>
      <c r="D531" s="487"/>
      <c r="E531" s="487"/>
      <c r="F531" s="487"/>
      <c r="G531" s="487"/>
      <c r="H531" s="488"/>
    </row>
    <row r="532" spans="1:8" x14ac:dyDescent="0.2">
      <c r="A532" s="151">
        <v>3315</v>
      </c>
      <c r="B532" s="487" t="s">
        <v>3219</v>
      </c>
      <c r="C532" s="487"/>
      <c r="D532" s="487"/>
      <c r="E532" s="487"/>
      <c r="F532" s="487"/>
      <c r="G532" s="487"/>
      <c r="H532" s="488"/>
    </row>
    <row r="533" spans="1:8" x14ac:dyDescent="0.2">
      <c r="A533" s="151">
        <v>3316</v>
      </c>
      <c r="B533" s="487" t="s">
        <v>2891</v>
      </c>
      <c r="C533" s="487"/>
      <c r="D533" s="487"/>
      <c r="E533" s="487"/>
      <c r="F533" s="487"/>
      <c r="G533" s="487"/>
      <c r="H533" s="488"/>
    </row>
    <row r="534" spans="1:8" x14ac:dyDescent="0.2">
      <c r="A534" s="151">
        <v>3317</v>
      </c>
      <c r="B534" s="487" t="s">
        <v>2892</v>
      </c>
      <c r="C534" s="487"/>
      <c r="D534" s="487"/>
      <c r="E534" s="487"/>
      <c r="F534" s="487"/>
      <c r="G534" s="487"/>
      <c r="H534" s="488"/>
    </row>
    <row r="535" spans="1:8" x14ac:dyDescent="0.2">
      <c r="A535" s="151">
        <v>3319</v>
      </c>
      <c r="B535" s="487" t="s">
        <v>2893</v>
      </c>
      <c r="C535" s="487"/>
      <c r="D535" s="487"/>
      <c r="E535" s="487"/>
      <c r="F535" s="487"/>
      <c r="G535" s="487"/>
      <c r="H535" s="488"/>
    </row>
    <row r="536" spans="1:8" x14ac:dyDescent="0.2">
      <c r="A536" s="151">
        <v>3320</v>
      </c>
      <c r="B536" s="487" t="s">
        <v>2894</v>
      </c>
      <c r="C536" s="487"/>
      <c r="D536" s="487"/>
      <c r="E536" s="487"/>
      <c r="F536" s="487"/>
      <c r="G536" s="487"/>
      <c r="H536" s="488"/>
    </row>
    <row r="537" spans="1:8" x14ac:dyDescent="0.2">
      <c r="A537" s="151">
        <v>3511</v>
      </c>
      <c r="B537" s="487" t="s">
        <v>1099</v>
      </c>
      <c r="C537" s="487"/>
      <c r="D537" s="487"/>
      <c r="E537" s="487"/>
      <c r="F537" s="487"/>
      <c r="G537" s="487"/>
      <c r="H537" s="488"/>
    </row>
    <row r="538" spans="1:8" x14ac:dyDescent="0.2">
      <c r="A538" s="151">
        <v>3512</v>
      </c>
      <c r="B538" s="487" t="s">
        <v>1100</v>
      </c>
      <c r="C538" s="487"/>
      <c r="D538" s="487"/>
      <c r="E538" s="487"/>
      <c r="F538" s="487"/>
      <c r="G538" s="487"/>
      <c r="H538" s="488"/>
    </row>
    <row r="539" spans="1:8" x14ac:dyDescent="0.2">
      <c r="A539" s="151">
        <v>3513</v>
      </c>
      <c r="B539" s="487" t="s">
        <v>2895</v>
      </c>
      <c r="C539" s="487"/>
      <c r="D539" s="487"/>
      <c r="E539" s="487"/>
      <c r="F539" s="487"/>
      <c r="G539" s="487"/>
      <c r="H539" s="488"/>
    </row>
    <row r="540" spans="1:8" x14ac:dyDescent="0.2">
      <c r="A540" s="151">
        <v>3514</v>
      </c>
      <c r="B540" s="487" t="s">
        <v>2896</v>
      </c>
      <c r="C540" s="487"/>
      <c r="D540" s="487"/>
      <c r="E540" s="487"/>
      <c r="F540" s="487"/>
      <c r="G540" s="487"/>
      <c r="H540" s="488"/>
    </row>
    <row r="541" spans="1:8" x14ac:dyDescent="0.2">
      <c r="A541" s="151">
        <v>3521</v>
      </c>
      <c r="B541" s="487" t="s">
        <v>1101</v>
      </c>
      <c r="C541" s="487"/>
      <c r="D541" s="487"/>
      <c r="E541" s="487"/>
      <c r="F541" s="487"/>
      <c r="G541" s="487"/>
      <c r="H541" s="488"/>
    </row>
    <row r="542" spans="1:8" x14ac:dyDescent="0.2">
      <c r="A542" s="151">
        <v>3522</v>
      </c>
      <c r="B542" s="487" t="s">
        <v>2897</v>
      </c>
      <c r="C542" s="487"/>
      <c r="D542" s="487"/>
      <c r="E542" s="487"/>
      <c r="F542" s="487"/>
      <c r="G542" s="487"/>
      <c r="H542" s="488"/>
    </row>
    <row r="543" spans="1:8" x14ac:dyDescent="0.2">
      <c r="A543" s="151">
        <v>3523</v>
      </c>
      <c r="B543" s="487" t="s">
        <v>2898</v>
      </c>
      <c r="C543" s="487"/>
      <c r="D543" s="487"/>
      <c r="E543" s="487"/>
      <c r="F543" s="487"/>
      <c r="G543" s="487"/>
      <c r="H543" s="488"/>
    </row>
    <row r="544" spans="1:8" x14ac:dyDescent="0.2">
      <c r="A544" s="151">
        <v>3530</v>
      </c>
      <c r="B544" s="487" t="s">
        <v>3360</v>
      </c>
      <c r="C544" s="487"/>
      <c r="D544" s="487"/>
      <c r="E544" s="487"/>
      <c r="F544" s="487"/>
      <c r="G544" s="487"/>
      <c r="H544" s="488"/>
    </row>
    <row r="545" spans="1:8" x14ac:dyDescent="0.2">
      <c r="A545" s="151">
        <v>3600</v>
      </c>
      <c r="B545" s="487" t="s">
        <v>3361</v>
      </c>
      <c r="C545" s="487"/>
      <c r="D545" s="487"/>
      <c r="E545" s="487"/>
      <c r="F545" s="487"/>
      <c r="G545" s="487"/>
      <c r="H545" s="488"/>
    </row>
    <row r="546" spans="1:8" x14ac:dyDescent="0.2">
      <c r="A546" s="151">
        <v>3700</v>
      </c>
      <c r="B546" s="487" t="s">
        <v>3362</v>
      </c>
      <c r="C546" s="487"/>
      <c r="D546" s="487"/>
      <c r="E546" s="487"/>
      <c r="F546" s="487"/>
      <c r="G546" s="487"/>
      <c r="H546" s="488"/>
    </row>
    <row r="547" spans="1:8" x14ac:dyDescent="0.2">
      <c r="A547" s="151">
        <v>3811</v>
      </c>
      <c r="B547" s="487" t="s">
        <v>3363</v>
      </c>
      <c r="C547" s="487"/>
      <c r="D547" s="487"/>
      <c r="E547" s="487"/>
      <c r="F547" s="487"/>
      <c r="G547" s="487"/>
      <c r="H547" s="488"/>
    </row>
    <row r="548" spans="1:8" x14ac:dyDescent="0.2">
      <c r="A548" s="151">
        <v>3812</v>
      </c>
      <c r="B548" s="487" t="s">
        <v>3364</v>
      </c>
      <c r="C548" s="487"/>
      <c r="D548" s="487"/>
      <c r="E548" s="487"/>
      <c r="F548" s="487"/>
      <c r="G548" s="487"/>
      <c r="H548" s="488"/>
    </row>
    <row r="549" spans="1:8" x14ac:dyDescent="0.2">
      <c r="A549" s="151">
        <v>3821</v>
      </c>
      <c r="B549" s="487" t="s">
        <v>3774</v>
      </c>
      <c r="C549" s="487"/>
      <c r="D549" s="487"/>
      <c r="E549" s="487"/>
      <c r="F549" s="487"/>
      <c r="G549" s="487"/>
      <c r="H549" s="488"/>
    </row>
    <row r="550" spans="1:8" x14ac:dyDescent="0.2">
      <c r="A550" s="151">
        <v>3822</v>
      </c>
      <c r="B550" s="487" t="s">
        <v>3775</v>
      </c>
      <c r="C550" s="487"/>
      <c r="D550" s="487"/>
      <c r="E550" s="487"/>
      <c r="F550" s="487"/>
      <c r="G550" s="487"/>
      <c r="H550" s="488"/>
    </row>
    <row r="551" spans="1:8" x14ac:dyDescent="0.2">
      <c r="A551" s="151">
        <v>3831</v>
      </c>
      <c r="B551" s="487" t="s">
        <v>80</v>
      </c>
      <c r="C551" s="487"/>
      <c r="D551" s="487"/>
      <c r="E551" s="487"/>
      <c r="F551" s="487"/>
      <c r="G551" s="487"/>
      <c r="H551" s="488"/>
    </row>
    <row r="552" spans="1:8" x14ac:dyDescent="0.2">
      <c r="A552" s="151">
        <v>3832</v>
      </c>
      <c r="B552" s="487" t="s">
        <v>81</v>
      </c>
      <c r="C552" s="487"/>
      <c r="D552" s="487"/>
      <c r="E552" s="487"/>
      <c r="F552" s="487"/>
      <c r="G552" s="487"/>
      <c r="H552" s="488"/>
    </row>
    <row r="553" spans="1:8" x14ac:dyDescent="0.2">
      <c r="A553" s="151">
        <v>3900</v>
      </c>
      <c r="B553" s="487" t="s">
        <v>82</v>
      </c>
      <c r="C553" s="487"/>
      <c r="D553" s="487"/>
      <c r="E553" s="487"/>
      <c r="F553" s="487"/>
      <c r="G553" s="487"/>
      <c r="H553" s="488"/>
    </row>
    <row r="554" spans="1:8" x14ac:dyDescent="0.2">
      <c r="A554" s="151">
        <v>4110</v>
      </c>
      <c r="B554" s="487" t="s">
        <v>83</v>
      </c>
      <c r="C554" s="487"/>
      <c r="D554" s="487"/>
      <c r="E554" s="487"/>
      <c r="F554" s="487"/>
      <c r="G554" s="487"/>
      <c r="H554" s="488"/>
    </row>
    <row r="555" spans="1:8" x14ac:dyDescent="0.2">
      <c r="A555" s="151">
        <v>4120</v>
      </c>
      <c r="B555" s="487" t="s">
        <v>84</v>
      </c>
      <c r="C555" s="487"/>
      <c r="D555" s="487"/>
      <c r="E555" s="487"/>
      <c r="F555" s="487"/>
      <c r="G555" s="487"/>
      <c r="H555" s="488"/>
    </row>
    <row r="556" spans="1:8" x14ac:dyDescent="0.2">
      <c r="A556" s="151">
        <v>4211</v>
      </c>
      <c r="B556" s="487" t="s">
        <v>1609</v>
      </c>
      <c r="C556" s="487"/>
      <c r="D556" s="487"/>
      <c r="E556" s="487"/>
      <c r="F556" s="487"/>
      <c r="G556" s="487"/>
      <c r="H556" s="488"/>
    </row>
    <row r="557" spans="1:8" x14ac:dyDescent="0.2">
      <c r="A557" s="151">
        <v>4212</v>
      </c>
      <c r="B557" s="487" t="s">
        <v>1610</v>
      </c>
      <c r="C557" s="487"/>
      <c r="D557" s="487"/>
      <c r="E557" s="487"/>
      <c r="F557" s="487"/>
      <c r="G557" s="487"/>
      <c r="H557" s="488"/>
    </row>
    <row r="558" spans="1:8" x14ac:dyDescent="0.2">
      <c r="A558" s="151">
        <v>4213</v>
      </c>
      <c r="B558" s="487" t="s">
        <v>2132</v>
      </c>
      <c r="C558" s="487"/>
      <c r="D558" s="487"/>
      <c r="E558" s="487"/>
      <c r="F558" s="487"/>
      <c r="G558" s="487"/>
      <c r="H558" s="488"/>
    </row>
    <row r="559" spans="1:8" x14ac:dyDescent="0.2">
      <c r="A559" s="151">
        <v>4221</v>
      </c>
      <c r="B559" s="487" t="s">
        <v>2133</v>
      </c>
      <c r="C559" s="487"/>
      <c r="D559" s="487"/>
      <c r="E559" s="487"/>
      <c r="F559" s="487"/>
      <c r="G559" s="487"/>
      <c r="H559" s="488"/>
    </row>
    <row r="560" spans="1:8" x14ac:dyDescent="0.2">
      <c r="A560" s="151">
        <v>4222</v>
      </c>
      <c r="B560" s="487" t="s">
        <v>1519</v>
      </c>
      <c r="C560" s="487"/>
      <c r="D560" s="487"/>
      <c r="E560" s="487"/>
      <c r="F560" s="487"/>
      <c r="G560" s="487"/>
      <c r="H560" s="488"/>
    </row>
    <row r="561" spans="1:8" x14ac:dyDescent="0.2">
      <c r="A561" s="151">
        <v>4291</v>
      </c>
      <c r="B561" s="487" t="s">
        <v>1520</v>
      </c>
      <c r="C561" s="487"/>
      <c r="D561" s="487"/>
      <c r="E561" s="487"/>
      <c r="F561" s="487"/>
      <c r="G561" s="487"/>
      <c r="H561" s="488"/>
    </row>
    <row r="562" spans="1:8" x14ac:dyDescent="0.2">
      <c r="A562" s="151">
        <v>4299</v>
      </c>
      <c r="B562" s="487" t="s">
        <v>1521</v>
      </c>
      <c r="C562" s="487"/>
      <c r="D562" s="487"/>
      <c r="E562" s="487"/>
      <c r="F562" s="487"/>
      <c r="G562" s="487"/>
      <c r="H562" s="488"/>
    </row>
    <row r="563" spans="1:8" x14ac:dyDescent="0.2">
      <c r="A563" s="151">
        <v>4311</v>
      </c>
      <c r="B563" s="487" t="s">
        <v>2882</v>
      </c>
      <c r="C563" s="487"/>
      <c r="D563" s="487"/>
      <c r="E563" s="487"/>
      <c r="F563" s="487"/>
      <c r="G563" s="487"/>
      <c r="H563" s="488"/>
    </row>
    <row r="564" spans="1:8" x14ac:dyDescent="0.2">
      <c r="A564" s="151">
        <v>4312</v>
      </c>
      <c r="B564" s="487" t="s">
        <v>2883</v>
      </c>
      <c r="C564" s="487"/>
      <c r="D564" s="487"/>
      <c r="E564" s="487"/>
      <c r="F564" s="487"/>
      <c r="G564" s="487"/>
      <c r="H564" s="488"/>
    </row>
    <row r="565" spans="1:8" x14ac:dyDescent="0.2">
      <c r="A565" s="151">
        <v>4313</v>
      </c>
      <c r="B565" s="487" t="s">
        <v>2884</v>
      </c>
      <c r="C565" s="487"/>
      <c r="D565" s="487"/>
      <c r="E565" s="487"/>
      <c r="F565" s="487"/>
      <c r="G565" s="487"/>
      <c r="H565" s="488"/>
    </row>
    <row r="566" spans="1:8" x14ac:dyDescent="0.2">
      <c r="A566" s="151">
        <v>4321</v>
      </c>
      <c r="B566" s="487" t="s">
        <v>4072</v>
      </c>
      <c r="C566" s="487"/>
      <c r="D566" s="487"/>
      <c r="E566" s="487"/>
      <c r="F566" s="487"/>
      <c r="G566" s="487"/>
      <c r="H566" s="488"/>
    </row>
    <row r="567" spans="1:8" x14ac:dyDescent="0.2">
      <c r="A567" s="151">
        <v>4322</v>
      </c>
      <c r="B567" s="487" t="s">
        <v>3616</v>
      </c>
      <c r="C567" s="487"/>
      <c r="D567" s="487"/>
      <c r="E567" s="487"/>
      <c r="F567" s="487"/>
      <c r="G567" s="487"/>
      <c r="H567" s="488"/>
    </row>
    <row r="568" spans="1:8" x14ac:dyDescent="0.2">
      <c r="A568" s="151">
        <v>4329</v>
      </c>
      <c r="B568" s="487" t="s">
        <v>3617</v>
      </c>
      <c r="C568" s="487"/>
      <c r="D568" s="487"/>
      <c r="E568" s="487"/>
      <c r="F568" s="487"/>
      <c r="G568" s="487"/>
      <c r="H568" s="488"/>
    </row>
    <row r="569" spans="1:8" x14ac:dyDescent="0.2">
      <c r="A569" s="151">
        <v>4331</v>
      </c>
      <c r="B569" s="487" t="s">
        <v>3618</v>
      </c>
      <c r="C569" s="487"/>
      <c r="D569" s="487"/>
      <c r="E569" s="487"/>
      <c r="F569" s="487"/>
      <c r="G569" s="487"/>
      <c r="H569" s="488"/>
    </row>
    <row r="570" spans="1:8" x14ac:dyDescent="0.2">
      <c r="A570" s="151">
        <v>4332</v>
      </c>
      <c r="B570" s="487" t="s">
        <v>449</v>
      </c>
      <c r="C570" s="487"/>
      <c r="D570" s="487"/>
      <c r="E570" s="487"/>
      <c r="F570" s="487"/>
      <c r="G570" s="487"/>
      <c r="H570" s="488"/>
    </row>
    <row r="571" spans="1:8" x14ac:dyDescent="0.2">
      <c r="A571" s="151">
        <v>4333</v>
      </c>
      <c r="B571" s="487" t="s">
        <v>450</v>
      </c>
      <c r="C571" s="487"/>
      <c r="D571" s="487"/>
      <c r="E571" s="487"/>
      <c r="F571" s="487"/>
      <c r="G571" s="487"/>
      <c r="H571" s="488"/>
    </row>
    <row r="572" spans="1:8" x14ac:dyDescent="0.2">
      <c r="A572" s="151">
        <v>4334</v>
      </c>
      <c r="B572" s="487" t="s">
        <v>451</v>
      </c>
      <c r="C572" s="487"/>
      <c r="D572" s="487"/>
      <c r="E572" s="487"/>
      <c r="F572" s="487"/>
      <c r="G572" s="487"/>
      <c r="H572" s="488"/>
    </row>
    <row r="573" spans="1:8" x14ac:dyDescent="0.2">
      <c r="A573" s="151">
        <v>4339</v>
      </c>
      <c r="B573" s="487" t="s">
        <v>3619</v>
      </c>
      <c r="C573" s="487"/>
      <c r="D573" s="487"/>
      <c r="E573" s="487"/>
      <c r="F573" s="487"/>
      <c r="G573" s="487"/>
      <c r="H573" s="488"/>
    </row>
    <row r="574" spans="1:8" x14ac:dyDescent="0.2">
      <c r="A574" s="151">
        <v>4391</v>
      </c>
      <c r="B574" s="487" t="s">
        <v>898</v>
      </c>
      <c r="C574" s="487"/>
      <c r="D574" s="487"/>
      <c r="E574" s="487"/>
      <c r="F574" s="487"/>
      <c r="G574" s="487"/>
      <c r="H574" s="488"/>
    </row>
    <row r="575" spans="1:8" x14ac:dyDescent="0.2">
      <c r="A575" s="151">
        <v>4399</v>
      </c>
      <c r="B575" s="487" t="s">
        <v>899</v>
      </c>
      <c r="C575" s="487"/>
      <c r="D575" s="487"/>
      <c r="E575" s="487"/>
      <c r="F575" s="487"/>
      <c r="G575" s="487"/>
      <c r="H575" s="488"/>
    </row>
    <row r="576" spans="1:8" x14ac:dyDescent="0.2">
      <c r="A576" s="151">
        <v>4511</v>
      </c>
      <c r="B576" s="487" t="s">
        <v>2326</v>
      </c>
      <c r="C576" s="487"/>
      <c r="D576" s="487"/>
      <c r="E576" s="487"/>
      <c r="F576" s="487"/>
      <c r="G576" s="487"/>
      <c r="H576" s="488"/>
    </row>
    <row r="577" spans="1:8" x14ac:dyDescent="0.2">
      <c r="A577" s="151">
        <v>4519</v>
      </c>
      <c r="B577" s="487" t="s">
        <v>2327</v>
      </c>
      <c r="C577" s="487"/>
      <c r="D577" s="487"/>
      <c r="E577" s="487"/>
      <c r="F577" s="487"/>
      <c r="G577" s="487"/>
      <c r="H577" s="488"/>
    </row>
    <row r="578" spans="1:8" x14ac:dyDescent="0.2">
      <c r="A578" s="151">
        <v>4520</v>
      </c>
      <c r="B578" s="487" t="s">
        <v>452</v>
      </c>
      <c r="C578" s="487"/>
      <c r="D578" s="487"/>
      <c r="E578" s="487"/>
      <c r="F578" s="487"/>
      <c r="G578" s="487"/>
      <c r="H578" s="488"/>
    </row>
    <row r="579" spans="1:8" x14ac:dyDescent="0.2">
      <c r="A579" s="151">
        <v>4531</v>
      </c>
      <c r="B579" s="487" t="s">
        <v>2328</v>
      </c>
      <c r="C579" s="487"/>
      <c r="D579" s="487"/>
      <c r="E579" s="487"/>
      <c r="F579" s="487"/>
      <c r="G579" s="487"/>
      <c r="H579" s="488"/>
    </row>
    <row r="580" spans="1:8" x14ac:dyDescent="0.2">
      <c r="A580" s="151">
        <v>4532</v>
      </c>
      <c r="B580" s="487" t="s">
        <v>3725</v>
      </c>
      <c r="C580" s="487"/>
      <c r="D580" s="487"/>
      <c r="E580" s="487"/>
      <c r="F580" s="487"/>
      <c r="G580" s="487"/>
      <c r="H580" s="488"/>
    </row>
    <row r="581" spans="1:8" x14ac:dyDescent="0.2">
      <c r="A581" s="151">
        <v>4540</v>
      </c>
      <c r="B581" s="487" t="s">
        <v>3564</v>
      </c>
      <c r="C581" s="487"/>
      <c r="D581" s="487"/>
      <c r="E581" s="487"/>
      <c r="F581" s="487"/>
      <c r="G581" s="487"/>
      <c r="H581" s="488"/>
    </row>
    <row r="582" spans="1:8" x14ac:dyDescent="0.2">
      <c r="A582" s="151">
        <v>4611</v>
      </c>
      <c r="B582" s="487" t="s">
        <v>3565</v>
      </c>
      <c r="C582" s="487"/>
      <c r="D582" s="487"/>
      <c r="E582" s="487"/>
      <c r="F582" s="487"/>
      <c r="G582" s="487"/>
      <c r="H582" s="488"/>
    </row>
    <row r="583" spans="1:8" x14ac:dyDescent="0.2">
      <c r="A583" s="151">
        <v>4612</v>
      </c>
      <c r="B583" s="487" t="s">
        <v>4295</v>
      </c>
      <c r="C583" s="487"/>
      <c r="D583" s="487"/>
      <c r="E583" s="487"/>
      <c r="F583" s="487"/>
      <c r="G583" s="487"/>
      <c r="H583" s="488"/>
    </row>
    <row r="584" spans="1:8" x14ac:dyDescent="0.2">
      <c r="A584" s="151">
        <v>4613</v>
      </c>
      <c r="B584" s="487" t="s">
        <v>3478</v>
      </c>
      <c r="C584" s="487"/>
      <c r="D584" s="487"/>
      <c r="E584" s="487"/>
      <c r="F584" s="487"/>
      <c r="G584" s="487"/>
      <c r="H584" s="488"/>
    </row>
    <row r="585" spans="1:8" x14ac:dyDescent="0.2">
      <c r="A585" s="151">
        <v>4614</v>
      </c>
      <c r="B585" s="487" t="s">
        <v>2775</v>
      </c>
      <c r="C585" s="487"/>
      <c r="D585" s="487"/>
      <c r="E585" s="487"/>
      <c r="F585" s="487"/>
      <c r="G585" s="487"/>
      <c r="H585" s="488"/>
    </row>
    <row r="586" spans="1:8" x14ac:dyDescent="0.2">
      <c r="A586" s="151">
        <v>4615</v>
      </c>
      <c r="B586" s="487" t="s">
        <v>2776</v>
      </c>
      <c r="C586" s="487"/>
      <c r="D586" s="487"/>
      <c r="E586" s="487"/>
      <c r="F586" s="487"/>
      <c r="G586" s="487"/>
      <c r="H586" s="488"/>
    </row>
    <row r="587" spans="1:8" x14ac:dyDescent="0.2">
      <c r="A587" s="151">
        <v>4616</v>
      </c>
      <c r="B587" s="487" t="s">
        <v>2777</v>
      </c>
      <c r="C587" s="487"/>
      <c r="D587" s="487"/>
      <c r="E587" s="487"/>
      <c r="F587" s="487"/>
      <c r="G587" s="487"/>
      <c r="H587" s="488"/>
    </row>
    <row r="588" spans="1:8" x14ac:dyDescent="0.2">
      <c r="A588" s="151">
        <v>4617</v>
      </c>
      <c r="B588" s="487" t="s">
        <v>1116</v>
      </c>
      <c r="C588" s="487"/>
      <c r="D588" s="487"/>
      <c r="E588" s="487"/>
      <c r="F588" s="487"/>
      <c r="G588" s="487"/>
      <c r="H588" s="488"/>
    </row>
    <row r="589" spans="1:8" x14ac:dyDescent="0.2">
      <c r="A589" s="151">
        <v>4618</v>
      </c>
      <c r="B589" s="487" t="s">
        <v>1117</v>
      </c>
      <c r="C589" s="487"/>
      <c r="D589" s="487"/>
      <c r="E589" s="487"/>
      <c r="F589" s="487"/>
      <c r="G589" s="487"/>
      <c r="H589" s="488"/>
    </row>
    <row r="590" spans="1:8" x14ac:dyDescent="0.2">
      <c r="A590" s="151">
        <v>4619</v>
      </c>
      <c r="B590" s="487" t="s">
        <v>1118</v>
      </c>
      <c r="C590" s="487"/>
      <c r="D590" s="487"/>
      <c r="E590" s="487"/>
      <c r="F590" s="487"/>
      <c r="G590" s="487"/>
      <c r="H590" s="488"/>
    </row>
    <row r="591" spans="1:8" x14ac:dyDescent="0.2">
      <c r="A591" s="151">
        <v>4621</v>
      </c>
      <c r="B591" s="487" t="s">
        <v>1768</v>
      </c>
      <c r="C591" s="487"/>
      <c r="D591" s="487"/>
      <c r="E591" s="487"/>
      <c r="F591" s="487"/>
      <c r="G591" s="487"/>
      <c r="H591" s="488"/>
    </row>
    <row r="592" spans="1:8" x14ac:dyDescent="0.2">
      <c r="A592" s="151">
        <v>4622</v>
      </c>
      <c r="B592" s="487" t="s">
        <v>2986</v>
      </c>
      <c r="C592" s="487"/>
      <c r="D592" s="487"/>
      <c r="E592" s="487"/>
      <c r="F592" s="487"/>
      <c r="G592" s="487"/>
      <c r="H592" s="488"/>
    </row>
    <row r="593" spans="1:8" x14ac:dyDescent="0.2">
      <c r="A593" s="151">
        <v>4623</v>
      </c>
      <c r="B593" s="487" t="s">
        <v>3921</v>
      </c>
      <c r="C593" s="487"/>
      <c r="D593" s="487"/>
      <c r="E593" s="487"/>
      <c r="F593" s="487"/>
      <c r="G593" s="487"/>
      <c r="H593" s="488"/>
    </row>
    <row r="594" spans="1:8" x14ac:dyDescent="0.2">
      <c r="A594" s="151">
        <v>4624</v>
      </c>
      <c r="B594" s="487" t="s">
        <v>1769</v>
      </c>
      <c r="C594" s="487"/>
      <c r="D594" s="487"/>
      <c r="E594" s="487"/>
      <c r="F594" s="487"/>
      <c r="G594" s="487"/>
      <c r="H594" s="488"/>
    </row>
    <row r="595" spans="1:8" x14ac:dyDescent="0.2">
      <c r="A595" s="151">
        <v>4631</v>
      </c>
      <c r="B595" s="487" t="s">
        <v>1770</v>
      </c>
      <c r="C595" s="487"/>
      <c r="D595" s="487"/>
      <c r="E595" s="487"/>
      <c r="F595" s="487"/>
      <c r="G595" s="487"/>
      <c r="H595" s="488"/>
    </row>
    <row r="596" spans="1:8" x14ac:dyDescent="0.2">
      <c r="A596" s="151">
        <v>4632</v>
      </c>
      <c r="B596" s="487" t="s">
        <v>1771</v>
      </c>
      <c r="C596" s="487"/>
      <c r="D596" s="487"/>
      <c r="E596" s="487"/>
      <c r="F596" s="487"/>
      <c r="G596" s="487"/>
      <c r="H596" s="488"/>
    </row>
    <row r="597" spans="1:8" x14ac:dyDescent="0.2">
      <c r="A597" s="151">
        <v>4633</v>
      </c>
      <c r="B597" s="487" t="s">
        <v>1772</v>
      </c>
      <c r="C597" s="487"/>
      <c r="D597" s="487"/>
      <c r="E597" s="487"/>
      <c r="F597" s="487"/>
      <c r="G597" s="487"/>
      <c r="H597" s="488"/>
    </row>
    <row r="598" spans="1:8" x14ac:dyDescent="0.2">
      <c r="A598" s="151">
        <v>4634</v>
      </c>
      <c r="B598" s="487" t="s">
        <v>1773</v>
      </c>
      <c r="C598" s="487"/>
      <c r="D598" s="487"/>
      <c r="E598" s="487"/>
      <c r="F598" s="487"/>
      <c r="G598" s="487"/>
      <c r="H598" s="488"/>
    </row>
    <row r="599" spans="1:8" x14ac:dyDescent="0.2">
      <c r="A599" s="151">
        <v>4635</v>
      </c>
      <c r="B599" s="487" t="s">
        <v>1774</v>
      </c>
      <c r="C599" s="487"/>
      <c r="D599" s="487"/>
      <c r="E599" s="487"/>
      <c r="F599" s="487"/>
      <c r="G599" s="487"/>
      <c r="H599" s="488"/>
    </row>
    <row r="600" spans="1:8" x14ac:dyDescent="0.2">
      <c r="A600" s="151">
        <v>4636</v>
      </c>
      <c r="B600" s="487" t="s">
        <v>1775</v>
      </c>
      <c r="C600" s="487"/>
      <c r="D600" s="487"/>
      <c r="E600" s="487"/>
      <c r="F600" s="487"/>
      <c r="G600" s="487"/>
      <c r="H600" s="488"/>
    </row>
    <row r="601" spans="1:8" x14ac:dyDescent="0.2">
      <c r="A601" s="151">
        <v>4637</v>
      </c>
      <c r="B601" s="487" t="s">
        <v>1776</v>
      </c>
      <c r="C601" s="487"/>
      <c r="D601" s="487"/>
      <c r="E601" s="487"/>
      <c r="F601" s="487"/>
      <c r="G601" s="487"/>
      <c r="H601" s="488"/>
    </row>
    <row r="602" spans="1:8" x14ac:dyDescent="0.2">
      <c r="A602" s="151">
        <v>4638</v>
      </c>
      <c r="B602" s="487" t="s">
        <v>3750</v>
      </c>
      <c r="C602" s="487"/>
      <c r="D602" s="487"/>
      <c r="E602" s="487"/>
      <c r="F602" s="487"/>
      <c r="G602" s="487"/>
      <c r="H602" s="488"/>
    </row>
    <row r="603" spans="1:8" x14ac:dyDescent="0.2">
      <c r="A603" s="151">
        <v>4639</v>
      </c>
      <c r="B603" s="487" t="s">
        <v>3751</v>
      </c>
      <c r="C603" s="487"/>
      <c r="D603" s="487"/>
      <c r="E603" s="487"/>
      <c r="F603" s="487"/>
      <c r="G603" s="487"/>
      <c r="H603" s="488"/>
    </row>
    <row r="604" spans="1:8" x14ac:dyDescent="0.2">
      <c r="A604" s="151">
        <v>4641</v>
      </c>
      <c r="B604" s="487" t="s">
        <v>3924</v>
      </c>
      <c r="C604" s="487"/>
      <c r="D604" s="487"/>
      <c r="E604" s="487"/>
      <c r="F604" s="487"/>
      <c r="G604" s="487"/>
      <c r="H604" s="488"/>
    </row>
    <row r="605" spans="1:8" x14ac:dyDescent="0.2">
      <c r="A605" s="151">
        <v>4642</v>
      </c>
      <c r="B605" s="487" t="s">
        <v>3752</v>
      </c>
      <c r="C605" s="487"/>
      <c r="D605" s="487"/>
      <c r="E605" s="487"/>
      <c r="F605" s="487"/>
      <c r="G605" s="487"/>
      <c r="H605" s="488"/>
    </row>
    <row r="606" spans="1:8" x14ac:dyDescent="0.2">
      <c r="A606" s="151">
        <v>4643</v>
      </c>
      <c r="B606" s="487" t="s">
        <v>3554</v>
      </c>
      <c r="C606" s="487"/>
      <c r="D606" s="487"/>
      <c r="E606" s="487"/>
      <c r="F606" s="487"/>
      <c r="G606" s="487"/>
      <c r="H606" s="488"/>
    </row>
    <row r="607" spans="1:8" x14ac:dyDescent="0.2">
      <c r="A607" s="151">
        <v>4644</v>
      </c>
      <c r="B607" s="487" t="s">
        <v>4206</v>
      </c>
      <c r="C607" s="487"/>
      <c r="D607" s="487"/>
      <c r="E607" s="487"/>
      <c r="F607" s="487"/>
      <c r="G607" s="487"/>
      <c r="H607" s="488"/>
    </row>
    <row r="608" spans="1:8" x14ac:dyDescent="0.2">
      <c r="A608" s="151">
        <v>4645</v>
      </c>
      <c r="B608" s="487" t="s">
        <v>2007</v>
      </c>
      <c r="C608" s="487"/>
      <c r="D608" s="487"/>
      <c r="E608" s="487"/>
      <c r="F608" s="487"/>
      <c r="G608" s="487"/>
      <c r="H608" s="488"/>
    </row>
    <row r="609" spans="1:8" x14ac:dyDescent="0.2">
      <c r="A609" s="151">
        <v>4646</v>
      </c>
      <c r="B609" s="487" t="s">
        <v>4207</v>
      </c>
      <c r="C609" s="487"/>
      <c r="D609" s="487"/>
      <c r="E609" s="487"/>
      <c r="F609" s="487"/>
      <c r="G609" s="487"/>
      <c r="H609" s="488"/>
    </row>
    <row r="610" spans="1:8" x14ac:dyDescent="0.2">
      <c r="A610" s="151">
        <v>4647</v>
      </c>
      <c r="B610" s="487" t="s">
        <v>4208</v>
      </c>
      <c r="C610" s="487"/>
      <c r="D610" s="487"/>
      <c r="E610" s="487"/>
      <c r="F610" s="487"/>
      <c r="G610" s="487"/>
      <c r="H610" s="488"/>
    </row>
    <row r="611" spans="1:8" x14ac:dyDescent="0.2">
      <c r="A611" s="151">
        <v>4648</v>
      </c>
      <c r="B611" s="487" t="s">
        <v>3485</v>
      </c>
      <c r="C611" s="487"/>
      <c r="D611" s="487"/>
      <c r="E611" s="487"/>
      <c r="F611" s="487"/>
      <c r="G611" s="487"/>
      <c r="H611" s="488"/>
    </row>
    <row r="612" spans="1:8" x14ac:dyDescent="0.2">
      <c r="A612" s="151">
        <v>4649</v>
      </c>
      <c r="B612" s="487" t="s">
        <v>3486</v>
      </c>
      <c r="C612" s="487"/>
      <c r="D612" s="487"/>
      <c r="E612" s="487"/>
      <c r="F612" s="487"/>
      <c r="G612" s="487"/>
      <c r="H612" s="488"/>
    </row>
    <row r="613" spans="1:8" x14ac:dyDescent="0.2">
      <c r="A613" s="151">
        <v>4651</v>
      </c>
      <c r="B613" s="487" t="s">
        <v>2400</v>
      </c>
      <c r="C613" s="487"/>
      <c r="D613" s="487"/>
      <c r="E613" s="487"/>
      <c r="F613" s="487"/>
      <c r="G613" s="487"/>
      <c r="H613" s="488"/>
    </row>
    <row r="614" spans="1:8" x14ac:dyDescent="0.2">
      <c r="A614" s="151">
        <v>4652</v>
      </c>
      <c r="B614" s="487" t="s">
        <v>4298</v>
      </c>
      <c r="C614" s="487"/>
      <c r="D614" s="487"/>
      <c r="E614" s="487"/>
      <c r="F614" s="487"/>
      <c r="G614" s="487"/>
      <c r="H614" s="488"/>
    </row>
    <row r="615" spans="1:8" x14ac:dyDescent="0.2">
      <c r="A615" s="151">
        <v>4661</v>
      </c>
      <c r="B615" s="487" t="s">
        <v>3880</v>
      </c>
      <c r="C615" s="487"/>
      <c r="D615" s="487"/>
      <c r="E615" s="487"/>
      <c r="F615" s="487"/>
      <c r="G615" s="487"/>
      <c r="H615" s="488"/>
    </row>
    <row r="616" spans="1:8" x14ac:dyDescent="0.2">
      <c r="A616" s="151">
        <v>4662</v>
      </c>
      <c r="B616" s="487" t="s">
        <v>3125</v>
      </c>
      <c r="C616" s="487"/>
      <c r="D616" s="487"/>
      <c r="E616" s="487"/>
      <c r="F616" s="487"/>
      <c r="G616" s="487"/>
      <c r="H616" s="488"/>
    </row>
    <row r="617" spans="1:8" x14ac:dyDescent="0.2">
      <c r="A617" s="151">
        <v>4663</v>
      </c>
      <c r="B617" s="487" t="s">
        <v>3126</v>
      </c>
      <c r="C617" s="487"/>
      <c r="D617" s="487"/>
      <c r="E617" s="487"/>
      <c r="F617" s="487"/>
      <c r="G617" s="487"/>
      <c r="H617" s="488"/>
    </row>
    <row r="618" spans="1:8" x14ac:dyDescent="0.2">
      <c r="A618" s="151">
        <v>4664</v>
      </c>
      <c r="B618" s="487" t="s">
        <v>750</v>
      </c>
      <c r="C618" s="487"/>
      <c r="D618" s="487"/>
      <c r="E618" s="487"/>
      <c r="F618" s="487"/>
      <c r="G618" s="487"/>
      <c r="H618" s="488"/>
    </row>
    <row r="619" spans="1:8" x14ac:dyDescent="0.2">
      <c r="A619" s="151">
        <v>4665</v>
      </c>
      <c r="B619" s="487" t="s">
        <v>751</v>
      </c>
      <c r="C619" s="487"/>
      <c r="D619" s="487"/>
      <c r="E619" s="487"/>
      <c r="F619" s="487"/>
      <c r="G619" s="487"/>
      <c r="H619" s="488"/>
    </row>
    <row r="620" spans="1:8" x14ac:dyDescent="0.2">
      <c r="A620" s="151">
        <v>4666</v>
      </c>
      <c r="B620" s="487" t="s">
        <v>3127</v>
      </c>
      <c r="C620" s="487"/>
      <c r="D620" s="487"/>
      <c r="E620" s="487"/>
      <c r="F620" s="487"/>
      <c r="G620" s="487"/>
      <c r="H620" s="488"/>
    </row>
    <row r="621" spans="1:8" x14ac:dyDescent="0.2">
      <c r="A621" s="151">
        <v>4669</v>
      </c>
      <c r="B621" s="487" t="s">
        <v>752</v>
      </c>
      <c r="C621" s="487"/>
      <c r="D621" s="487"/>
      <c r="E621" s="487"/>
      <c r="F621" s="487"/>
      <c r="G621" s="487"/>
      <c r="H621" s="488"/>
    </row>
    <row r="622" spans="1:8" x14ac:dyDescent="0.2">
      <c r="A622" s="151">
        <v>4671</v>
      </c>
      <c r="B622" s="487" t="s">
        <v>1279</v>
      </c>
      <c r="C622" s="487"/>
      <c r="D622" s="487"/>
      <c r="E622" s="487"/>
      <c r="F622" s="487"/>
      <c r="G622" s="487"/>
      <c r="H622" s="488"/>
    </row>
    <row r="623" spans="1:8" x14ac:dyDescent="0.2">
      <c r="A623" s="151">
        <v>4672</v>
      </c>
      <c r="B623" s="487" t="s">
        <v>3237</v>
      </c>
      <c r="C623" s="487"/>
      <c r="D623" s="487"/>
      <c r="E623" s="487"/>
      <c r="F623" s="487"/>
      <c r="G623" s="487"/>
      <c r="H623" s="488"/>
    </row>
    <row r="624" spans="1:8" x14ac:dyDescent="0.2">
      <c r="A624" s="151">
        <v>4673</v>
      </c>
      <c r="B624" s="487" t="s">
        <v>1430</v>
      </c>
      <c r="C624" s="487"/>
      <c r="D624" s="487"/>
      <c r="E624" s="487"/>
      <c r="F624" s="487"/>
      <c r="G624" s="487"/>
      <c r="H624" s="488"/>
    </row>
    <row r="625" spans="1:8" x14ac:dyDescent="0.2">
      <c r="A625" s="151">
        <v>4674</v>
      </c>
      <c r="B625" s="487" t="s">
        <v>4165</v>
      </c>
      <c r="C625" s="487"/>
      <c r="D625" s="487"/>
      <c r="E625" s="487"/>
      <c r="F625" s="487"/>
      <c r="G625" s="487"/>
      <c r="H625" s="488"/>
    </row>
    <row r="626" spans="1:8" x14ac:dyDescent="0.2">
      <c r="A626" s="151">
        <v>4675</v>
      </c>
      <c r="B626" s="487" t="s">
        <v>1778</v>
      </c>
      <c r="C626" s="487"/>
      <c r="D626" s="487"/>
      <c r="E626" s="487"/>
      <c r="F626" s="487"/>
      <c r="G626" s="487"/>
      <c r="H626" s="488"/>
    </row>
    <row r="627" spans="1:8" x14ac:dyDescent="0.2">
      <c r="A627" s="151">
        <v>4676</v>
      </c>
      <c r="B627" s="487" t="s">
        <v>2871</v>
      </c>
      <c r="C627" s="487"/>
      <c r="D627" s="487"/>
      <c r="E627" s="487"/>
      <c r="F627" s="487"/>
      <c r="G627" s="487"/>
      <c r="H627" s="488"/>
    </row>
    <row r="628" spans="1:8" x14ac:dyDescent="0.2">
      <c r="A628" s="151">
        <v>4677</v>
      </c>
      <c r="B628" s="487" t="s">
        <v>4166</v>
      </c>
      <c r="C628" s="487"/>
      <c r="D628" s="487"/>
      <c r="E628" s="487"/>
      <c r="F628" s="487"/>
      <c r="G628" s="487"/>
      <c r="H628" s="488"/>
    </row>
    <row r="629" spans="1:8" x14ac:dyDescent="0.2">
      <c r="A629" s="151">
        <v>4690</v>
      </c>
      <c r="B629" s="487" t="s">
        <v>4167</v>
      </c>
      <c r="C629" s="487"/>
      <c r="D629" s="487"/>
      <c r="E629" s="487"/>
      <c r="F629" s="487"/>
      <c r="G629" s="487"/>
      <c r="H629" s="488"/>
    </row>
    <row r="630" spans="1:8" x14ac:dyDescent="0.2">
      <c r="A630" s="151">
        <v>4711</v>
      </c>
      <c r="B630" s="487" t="s">
        <v>4168</v>
      </c>
      <c r="C630" s="487"/>
      <c r="D630" s="487"/>
      <c r="E630" s="487"/>
      <c r="F630" s="487"/>
      <c r="G630" s="487"/>
      <c r="H630" s="488"/>
    </row>
    <row r="631" spans="1:8" x14ac:dyDescent="0.2">
      <c r="A631" s="151">
        <v>4719</v>
      </c>
      <c r="B631" s="487" t="s">
        <v>2851</v>
      </c>
      <c r="C631" s="487"/>
      <c r="D631" s="487"/>
      <c r="E631" s="487"/>
      <c r="F631" s="487"/>
      <c r="G631" s="487"/>
      <c r="H631" s="488"/>
    </row>
    <row r="632" spans="1:8" x14ac:dyDescent="0.2">
      <c r="A632" s="151">
        <v>4721</v>
      </c>
      <c r="B632" s="487" t="s">
        <v>454</v>
      </c>
      <c r="C632" s="487"/>
      <c r="D632" s="487"/>
      <c r="E632" s="487"/>
      <c r="F632" s="487"/>
      <c r="G632" s="487"/>
      <c r="H632" s="488"/>
    </row>
    <row r="633" spans="1:8" x14ac:dyDescent="0.2">
      <c r="A633" s="151">
        <v>4722</v>
      </c>
      <c r="B633" s="487" t="s">
        <v>4103</v>
      </c>
      <c r="C633" s="487"/>
      <c r="D633" s="487"/>
      <c r="E633" s="487"/>
      <c r="F633" s="487"/>
      <c r="G633" s="487"/>
      <c r="H633" s="488"/>
    </row>
    <row r="634" spans="1:8" x14ac:dyDescent="0.2">
      <c r="A634" s="151">
        <v>4723</v>
      </c>
      <c r="B634" s="487" t="s">
        <v>1475</v>
      </c>
      <c r="C634" s="487"/>
      <c r="D634" s="487"/>
      <c r="E634" s="487"/>
      <c r="F634" s="487"/>
      <c r="G634" s="487"/>
      <c r="H634" s="488"/>
    </row>
    <row r="635" spans="1:8" x14ac:dyDescent="0.2">
      <c r="A635" s="151">
        <v>4724</v>
      </c>
      <c r="B635" s="487" t="s">
        <v>782</v>
      </c>
      <c r="C635" s="487"/>
      <c r="D635" s="487"/>
      <c r="E635" s="487"/>
      <c r="F635" s="487"/>
      <c r="G635" s="487"/>
      <c r="H635" s="488"/>
    </row>
    <row r="636" spans="1:8" x14ac:dyDescent="0.2">
      <c r="A636" s="151">
        <v>4725</v>
      </c>
      <c r="B636" s="487" t="s">
        <v>783</v>
      </c>
      <c r="C636" s="487"/>
      <c r="D636" s="487"/>
      <c r="E636" s="487"/>
      <c r="F636" s="487"/>
      <c r="G636" s="487"/>
      <c r="H636" s="488"/>
    </row>
    <row r="637" spans="1:8" x14ac:dyDescent="0.2">
      <c r="A637" s="151">
        <v>4726</v>
      </c>
      <c r="B637" s="487" t="s">
        <v>3405</v>
      </c>
      <c r="C637" s="487"/>
      <c r="D637" s="487"/>
      <c r="E637" s="487"/>
      <c r="F637" s="487"/>
      <c r="G637" s="487"/>
      <c r="H637" s="488"/>
    </row>
    <row r="638" spans="1:8" x14ac:dyDescent="0.2">
      <c r="A638" s="151">
        <v>4729</v>
      </c>
      <c r="B638" s="487" t="s">
        <v>3406</v>
      </c>
      <c r="C638" s="487"/>
      <c r="D638" s="487"/>
      <c r="E638" s="487"/>
      <c r="F638" s="487"/>
      <c r="G638" s="487"/>
      <c r="H638" s="488"/>
    </row>
    <row r="639" spans="1:8" x14ac:dyDescent="0.2">
      <c r="A639" s="151">
        <v>4730</v>
      </c>
      <c r="B639" s="487" t="s">
        <v>3407</v>
      </c>
      <c r="C639" s="487"/>
      <c r="D639" s="487"/>
      <c r="E639" s="487"/>
      <c r="F639" s="487"/>
      <c r="G639" s="487"/>
      <c r="H639" s="488"/>
    </row>
    <row r="640" spans="1:8" x14ac:dyDescent="0.2">
      <c r="A640" s="151">
        <v>4741</v>
      </c>
      <c r="B640" s="487" t="s">
        <v>3408</v>
      </c>
      <c r="C640" s="487"/>
      <c r="D640" s="487"/>
      <c r="E640" s="487"/>
      <c r="F640" s="487"/>
      <c r="G640" s="487"/>
      <c r="H640" s="488"/>
    </row>
    <row r="641" spans="1:8" x14ac:dyDescent="0.2">
      <c r="A641" s="151">
        <v>4742</v>
      </c>
      <c r="B641" s="487" t="s">
        <v>4096</v>
      </c>
      <c r="C641" s="487"/>
      <c r="D641" s="487"/>
      <c r="E641" s="487"/>
      <c r="F641" s="487"/>
      <c r="G641" s="487"/>
      <c r="H641" s="488"/>
    </row>
    <row r="642" spans="1:8" x14ac:dyDescent="0.2">
      <c r="A642" s="151">
        <v>4743</v>
      </c>
      <c r="B642" s="487" t="s">
        <v>2363</v>
      </c>
      <c r="C642" s="487"/>
      <c r="D642" s="487"/>
      <c r="E642" s="487"/>
      <c r="F642" s="487"/>
      <c r="G642" s="487"/>
      <c r="H642" s="488"/>
    </row>
    <row r="643" spans="1:8" x14ac:dyDescent="0.2">
      <c r="A643" s="151">
        <v>4751</v>
      </c>
      <c r="B643" s="487" t="s">
        <v>2456</v>
      </c>
      <c r="C643" s="487"/>
      <c r="D643" s="487"/>
      <c r="E643" s="487"/>
      <c r="F643" s="487"/>
      <c r="G643" s="487"/>
      <c r="H643" s="488"/>
    </row>
    <row r="644" spans="1:8" x14ac:dyDescent="0.2">
      <c r="A644" s="151">
        <v>4752</v>
      </c>
      <c r="B644" s="487" t="s">
        <v>2457</v>
      </c>
      <c r="C644" s="487"/>
      <c r="D644" s="487"/>
      <c r="E644" s="487"/>
      <c r="F644" s="487"/>
      <c r="G644" s="487"/>
      <c r="H644" s="488"/>
    </row>
    <row r="645" spans="1:8" x14ac:dyDescent="0.2">
      <c r="A645" s="151">
        <v>4753</v>
      </c>
      <c r="B645" s="487" t="s">
        <v>2458</v>
      </c>
      <c r="C645" s="487"/>
      <c r="D645" s="487"/>
      <c r="E645" s="487"/>
      <c r="F645" s="487"/>
      <c r="G645" s="487"/>
      <c r="H645" s="488"/>
    </row>
    <row r="646" spans="1:8" x14ac:dyDescent="0.2">
      <c r="A646" s="151">
        <v>4754</v>
      </c>
      <c r="B646" s="487" t="s">
        <v>2717</v>
      </c>
      <c r="C646" s="487"/>
      <c r="D646" s="487"/>
      <c r="E646" s="487"/>
      <c r="F646" s="487"/>
      <c r="G646" s="487"/>
      <c r="H646" s="488"/>
    </row>
    <row r="647" spans="1:8" x14ac:dyDescent="0.2">
      <c r="A647" s="151">
        <v>4759</v>
      </c>
      <c r="B647" s="487" t="s">
        <v>2718</v>
      </c>
      <c r="C647" s="487"/>
      <c r="D647" s="487"/>
      <c r="E647" s="487"/>
      <c r="F647" s="487"/>
      <c r="G647" s="487"/>
      <c r="H647" s="488"/>
    </row>
    <row r="648" spans="1:8" x14ac:dyDescent="0.2">
      <c r="A648" s="151">
        <v>4761</v>
      </c>
      <c r="B648" s="487" t="s">
        <v>2719</v>
      </c>
      <c r="C648" s="487"/>
      <c r="D648" s="487"/>
      <c r="E648" s="487"/>
      <c r="F648" s="487"/>
      <c r="G648" s="487"/>
      <c r="H648" s="488"/>
    </row>
    <row r="649" spans="1:8" x14ac:dyDescent="0.2">
      <c r="A649" s="151">
        <v>4762</v>
      </c>
      <c r="B649" s="487" t="s">
        <v>2460</v>
      </c>
      <c r="C649" s="487"/>
      <c r="D649" s="487"/>
      <c r="E649" s="487"/>
      <c r="F649" s="487"/>
      <c r="G649" s="487"/>
      <c r="H649" s="488"/>
    </row>
    <row r="650" spans="1:8" x14ac:dyDescent="0.2">
      <c r="A650" s="151">
        <v>4763</v>
      </c>
      <c r="B650" s="487" t="s">
        <v>1947</v>
      </c>
      <c r="C650" s="487"/>
      <c r="D650" s="487"/>
      <c r="E650" s="487"/>
      <c r="F650" s="487"/>
      <c r="G650" s="487"/>
      <c r="H650" s="488"/>
    </row>
    <row r="651" spans="1:8" x14ac:dyDescent="0.2">
      <c r="A651" s="151">
        <v>4764</v>
      </c>
      <c r="B651" s="487" t="s">
        <v>1948</v>
      </c>
      <c r="C651" s="487"/>
      <c r="D651" s="487"/>
      <c r="E651" s="487"/>
      <c r="F651" s="487"/>
      <c r="G651" s="487"/>
      <c r="H651" s="488"/>
    </row>
    <row r="652" spans="1:8" x14ac:dyDescent="0.2">
      <c r="A652" s="151">
        <v>4765</v>
      </c>
      <c r="B652" s="487" t="s">
        <v>1949</v>
      </c>
      <c r="C652" s="487"/>
      <c r="D652" s="487"/>
      <c r="E652" s="487"/>
      <c r="F652" s="487"/>
      <c r="G652" s="487"/>
      <c r="H652" s="488"/>
    </row>
    <row r="653" spans="1:8" x14ac:dyDescent="0.2">
      <c r="A653" s="151">
        <v>4771</v>
      </c>
      <c r="B653" s="487" t="s">
        <v>2754</v>
      </c>
      <c r="C653" s="487"/>
      <c r="D653" s="487"/>
      <c r="E653" s="487"/>
      <c r="F653" s="487"/>
      <c r="G653" s="487"/>
      <c r="H653" s="488"/>
    </row>
    <row r="654" spans="1:8" x14ac:dyDescent="0.2">
      <c r="A654" s="151">
        <v>4772</v>
      </c>
      <c r="B654" s="487" t="s">
        <v>4027</v>
      </c>
      <c r="C654" s="487"/>
      <c r="D654" s="487"/>
      <c r="E654" s="487"/>
      <c r="F654" s="487"/>
      <c r="G654" s="487"/>
      <c r="H654" s="488"/>
    </row>
    <row r="655" spans="1:8" x14ac:dyDescent="0.2">
      <c r="A655" s="151">
        <v>4773</v>
      </c>
      <c r="B655" s="487" t="s">
        <v>4028</v>
      </c>
      <c r="C655" s="487"/>
      <c r="D655" s="487"/>
      <c r="E655" s="487"/>
      <c r="F655" s="487"/>
      <c r="G655" s="487"/>
      <c r="H655" s="488"/>
    </row>
    <row r="656" spans="1:8" x14ac:dyDescent="0.2">
      <c r="A656" s="151">
        <v>4774</v>
      </c>
      <c r="B656" s="487" t="s">
        <v>4029</v>
      </c>
      <c r="C656" s="487"/>
      <c r="D656" s="487"/>
      <c r="E656" s="487"/>
      <c r="F656" s="487"/>
      <c r="G656" s="487"/>
      <c r="H656" s="488"/>
    </row>
    <row r="657" spans="1:8" x14ac:dyDescent="0.2">
      <c r="A657" s="151">
        <v>4775</v>
      </c>
      <c r="B657" s="487" t="s">
        <v>4030</v>
      </c>
      <c r="C657" s="487"/>
      <c r="D657" s="487"/>
      <c r="E657" s="487"/>
      <c r="F657" s="487"/>
      <c r="G657" s="487"/>
      <c r="H657" s="488"/>
    </row>
    <row r="658" spans="1:8" x14ac:dyDescent="0.2">
      <c r="A658" s="151">
        <v>4776</v>
      </c>
      <c r="B658" s="487" t="s">
        <v>4031</v>
      </c>
      <c r="C658" s="487"/>
      <c r="D658" s="487"/>
      <c r="E658" s="487"/>
      <c r="F658" s="487"/>
      <c r="G658" s="487"/>
      <c r="H658" s="488"/>
    </row>
    <row r="659" spans="1:8" x14ac:dyDescent="0.2">
      <c r="A659" s="151">
        <v>4777</v>
      </c>
      <c r="B659" s="487" t="s">
        <v>4032</v>
      </c>
      <c r="C659" s="487"/>
      <c r="D659" s="487"/>
      <c r="E659" s="487"/>
      <c r="F659" s="487"/>
      <c r="G659" s="487"/>
      <c r="H659" s="488"/>
    </row>
    <row r="660" spans="1:8" x14ac:dyDescent="0.2">
      <c r="A660" s="151">
        <v>4778</v>
      </c>
      <c r="B660" s="487" t="s">
        <v>4033</v>
      </c>
      <c r="C660" s="487"/>
      <c r="D660" s="487"/>
      <c r="E660" s="487"/>
      <c r="F660" s="487"/>
      <c r="G660" s="487"/>
      <c r="H660" s="488"/>
    </row>
    <row r="661" spans="1:8" x14ac:dyDescent="0.2">
      <c r="A661" s="151">
        <v>4779</v>
      </c>
      <c r="B661" s="487" t="s">
        <v>3226</v>
      </c>
      <c r="C661" s="487"/>
      <c r="D661" s="487"/>
      <c r="E661" s="487"/>
      <c r="F661" s="487"/>
      <c r="G661" s="487"/>
      <c r="H661" s="488"/>
    </row>
    <row r="662" spans="1:8" x14ac:dyDescent="0.2">
      <c r="A662" s="151">
        <v>4781</v>
      </c>
      <c r="B662" s="487" t="s">
        <v>1931</v>
      </c>
      <c r="C662" s="487"/>
      <c r="D662" s="487"/>
      <c r="E662" s="487"/>
      <c r="F662" s="487"/>
      <c r="G662" s="487"/>
      <c r="H662" s="488"/>
    </row>
    <row r="663" spans="1:8" x14ac:dyDescent="0.2">
      <c r="A663" s="151">
        <v>4782</v>
      </c>
      <c r="B663" s="487" t="s">
        <v>2016</v>
      </c>
      <c r="C663" s="487"/>
      <c r="D663" s="487"/>
      <c r="E663" s="487"/>
      <c r="F663" s="487"/>
      <c r="G663" s="487"/>
      <c r="H663" s="488"/>
    </row>
    <row r="664" spans="1:8" x14ac:dyDescent="0.2">
      <c r="A664" s="151">
        <v>4789</v>
      </c>
      <c r="B664" s="487" t="s">
        <v>2017</v>
      </c>
      <c r="C664" s="487"/>
      <c r="D664" s="487"/>
      <c r="E664" s="487"/>
      <c r="F664" s="487"/>
      <c r="G664" s="487"/>
      <c r="H664" s="488"/>
    </row>
    <row r="665" spans="1:8" x14ac:dyDescent="0.2">
      <c r="A665" s="151">
        <v>4791</v>
      </c>
      <c r="B665" s="487" t="s">
        <v>2018</v>
      </c>
      <c r="C665" s="487"/>
      <c r="D665" s="487"/>
      <c r="E665" s="487"/>
      <c r="F665" s="487"/>
      <c r="G665" s="487"/>
      <c r="H665" s="488"/>
    </row>
    <row r="666" spans="1:8" x14ac:dyDescent="0.2">
      <c r="A666" s="151">
        <v>4799</v>
      </c>
      <c r="B666" s="487" t="s">
        <v>2019</v>
      </c>
      <c r="C666" s="487"/>
      <c r="D666" s="487"/>
      <c r="E666" s="487"/>
      <c r="F666" s="487"/>
      <c r="G666" s="487"/>
      <c r="H666" s="488"/>
    </row>
    <row r="667" spans="1:8" x14ac:dyDescent="0.2">
      <c r="A667" s="151">
        <v>4910</v>
      </c>
      <c r="B667" s="487" t="s">
        <v>3929</v>
      </c>
      <c r="C667" s="487"/>
      <c r="D667" s="487"/>
      <c r="E667" s="487"/>
      <c r="F667" s="487"/>
      <c r="G667" s="487"/>
      <c r="H667" s="488"/>
    </row>
    <row r="668" spans="1:8" x14ac:dyDescent="0.2">
      <c r="A668" s="151">
        <v>4920</v>
      </c>
      <c r="B668" s="487" t="s">
        <v>3930</v>
      </c>
      <c r="C668" s="487"/>
      <c r="D668" s="487"/>
      <c r="E668" s="487"/>
      <c r="F668" s="487"/>
      <c r="G668" s="487"/>
      <c r="H668" s="488"/>
    </row>
    <row r="669" spans="1:8" x14ac:dyDescent="0.2">
      <c r="A669" s="151">
        <v>4931</v>
      </c>
      <c r="B669" s="487" t="s">
        <v>3310</v>
      </c>
      <c r="C669" s="487"/>
      <c r="D669" s="487"/>
      <c r="E669" s="487"/>
      <c r="F669" s="487"/>
      <c r="G669" s="487"/>
      <c r="H669" s="488"/>
    </row>
    <row r="670" spans="1:8" x14ac:dyDescent="0.2">
      <c r="A670" s="151">
        <v>4932</v>
      </c>
      <c r="B670" s="487" t="s">
        <v>3311</v>
      </c>
      <c r="C670" s="487"/>
      <c r="D670" s="487"/>
      <c r="E670" s="487"/>
      <c r="F670" s="487"/>
      <c r="G670" s="487"/>
      <c r="H670" s="488"/>
    </row>
    <row r="671" spans="1:8" x14ac:dyDescent="0.2">
      <c r="A671" s="151">
        <v>4939</v>
      </c>
      <c r="B671" s="487" t="s">
        <v>1781</v>
      </c>
      <c r="C671" s="487"/>
      <c r="D671" s="487"/>
      <c r="E671" s="487"/>
      <c r="F671" s="487"/>
      <c r="G671" s="487"/>
      <c r="H671" s="488"/>
    </row>
    <row r="672" spans="1:8" x14ac:dyDescent="0.2">
      <c r="A672" s="151">
        <v>4941</v>
      </c>
      <c r="B672" s="487" t="s">
        <v>4101</v>
      </c>
      <c r="C672" s="487"/>
      <c r="D672" s="487"/>
      <c r="E672" s="487"/>
      <c r="F672" s="487"/>
      <c r="G672" s="487"/>
      <c r="H672" s="488"/>
    </row>
    <row r="673" spans="1:8" x14ac:dyDescent="0.2">
      <c r="A673" s="151">
        <v>4942</v>
      </c>
      <c r="B673" s="487" t="s">
        <v>2696</v>
      </c>
      <c r="C673" s="487"/>
      <c r="D673" s="487"/>
      <c r="E673" s="487"/>
      <c r="F673" s="487"/>
      <c r="G673" s="487"/>
      <c r="H673" s="488"/>
    </row>
    <row r="674" spans="1:8" x14ac:dyDescent="0.2">
      <c r="A674" s="151">
        <v>4950</v>
      </c>
      <c r="B674" s="487" t="s">
        <v>2751</v>
      </c>
      <c r="C674" s="487"/>
      <c r="D674" s="487"/>
      <c r="E674" s="487"/>
      <c r="F674" s="487"/>
      <c r="G674" s="487"/>
      <c r="H674" s="488"/>
    </row>
    <row r="675" spans="1:8" x14ac:dyDescent="0.2">
      <c r="A675" s="151">
        <v>5010</v>
      </c>
      <c r="B675" s="487" t="s">
        <v>2926</v>
      </c>
      <c r="C675" s="487"/>
      <c r="D675" s="487"/>
      <c r="E675" s="487"/>
      <c r="F675" s="487"/>
      <c r="G675" s="487"/>
      <c r="H675" s="488"/>
    </row>
    <row r="676" spans="1:8" x14ac:dyDescent="0.2">
      <c r="A676" s="151">
        <v>5020</v>
      </c>
      <c r="B676" s="487" t="s">
        <v>2927</v>
      </c>
      <c r="C676" s="487"/>
      <c r="D676" s="487"/>
      <c r="E676" s="487"/>
      <c r="F676" s="487"/>
      <c r="G676" s="487"/>
      <c r="H676" s="488"/>
    </row>
    <row r="677" spans="1:8" x14ac:dyDescent="0.2">
      <c r="A677" s="151">
        <v>5030</v>
      </c>
      <c r="B677" s="487" t="s">
        <v>1027</v>
      </c>
      <c r="C677" s="487"/>
      <c r="D677" s="487"/>
      <c r="E677" s="487"/>
      <c r="F677" s="487"/>
      <c r="G677" s="487"/>
      <c r="H677" s="488"/>
    </row>
    <row r="678" spans="1:8" x14ac:dyDescent="0.2">
      <c r="A678" s="151">
        <v>5040</v>
      </c>
      <c r="B678" s="487" t="s">
        <v>3480</v>
      </c>
      <c r="C678" s="487"/>
      <c r="D678" s="487"/>
      <c r="E678" s="487"/>
      <c r="F678" s="487"/>
      <c r="G678" s="487"/>
      <c r="H678" s="488"/>
    </row>
    <row r="679" spans="1:8" x14ac:dyDescent="0.2">
      <c r="A679" s="151">
        <v>5110</v>
      </c>
      <c r="B679" s="487" t="s">
        <v>3481</v>
      </c>
      <c r="C679" s="487"/>
      <c r="D679" s="487"/>
      <c r="E679" s="487"/>
      <c r="F679" s="487"/>
      <c r="G679" s="487"/>
      <c r="H679" s="488"/>
    </row>
    <row r="680" spans="1:8" x14ac:dyDescent="0.2">
      <c r="A680" s="151">
        <v>5121</v>
      </c>
      <c r="B680" s="487" t="s">
        <v>3482</v>
      </c>
      <c r="C680" s="487"/>
      <c r="D680" s="487"/>
      <c r="E680" s="487"/>
      <c r="F680" s="487"/>
      <c r="G680" s="487"/>
      <c r="H680" s="488"/>
    </row>
    <row r="681" spans="1:8" x14ac:dyDescent="0.2">
      <c r="A681" s="151">
        <v>5122</v>
      </c>
      <c r="B681" s="487" t="s">
        <v>2928</v>
      </c>
      <c r="C681" s="487"/>
      <c r="D681" s="487"/>
      <c r="E681" s="487"/>
      <c r="F681" s="487"/>
      <c r="G681" s="487"/>
      <c r="H681" s="488"/>
    </row>
    <row r="682" spans="1:8" x14ac:dyDescent="0.2">
      <c r="A682" s="151">
        <v>5210</v>
      </c>
      <c r="B682" s="487" t="s">
        <v>2931</v>
      </c>
      <c r="C682" s="487"/>
      <c r="D682" s="487"/>
      <c r="E682" s="487"/>
      <c r="F682" s="487"/>
      <c r="G682" s="487"/>
      <c r="H682" s="488"/>
    </row>
    <row r="683" spans="1:8" x14ac:dyDescent="0.2">
      <c r="A683" s="151">
        <v>5221</v>
      </c>
      <c r="B683" s="487" t="s">
        <v>3483</v>
      </c>
      <c r="C683" s="487"/>
      <c r="D683" s="487"/>
      <c r="E683" s="487"/>
      <c r="F683" s="487"/>
      <c r="G683" s="487"/>
      <c r="H683" s="488"/>
    </row>
    <row r="684" spans="1:8" x14ac:dyDescent="0.2">
      <c r="A684" s="151">
        <v>5222</v>
      </c>
      <c r="B684" s="487" t="s">
        <v>3484</v>
      </c>
      <c r="C684" s="487"/>
      <c r="D684" s="487"/>
      <c r="E684" s="487"/>
      <c r="F684" s="487"/>
      <c r="G684" s="487"/>
      <c r="H684" s="488"/>
    </row>
    <row r="685" spans="1:8" x14ac:dyDescent="0.2">
      <c r="A685" s="151">
        <v>5223</v>
      </c>
      <c r="B685" s="487" t="s">
        <v>206</v>
      </c>
      <c r="C685" s="487"/>
      <c r="D685" s="487"/>
      <c r="E685" s="487"/>
      <c r="F685" s="487"/>
      <c r="G685" s="487"/>
      <c r="H685" s="488"/>
    </row>
    <row r="686" spans="1:8" x14ac:dyDescent="0.2">
      <c r="A686" s="151">
        <v>5224</v>
      </c>
      <c r="B686" s="487" t="s">
        <v>207</v>
      </c>
      <c r="C686" s="487"/>
      <c r="D686" s="487"/>
      <c r="E686" s="487"/>
      <c r="F686" s="487"/>
      <c r="G686" s="487"/>
      <c r="H686" s="488"/>
    </row>
    <row r="687" spans="1:8" x14ac:dyDescent="0.2">
      <c r="A687" s="151">
        <v>5229</v>
      </c>
      <c r="B687" s="487" t="s">
        <v>208</v>
      </c>
      <c r="C687" s="487"/>
      <c r="D687" s="487"/>
      <c r="E687" s="487"/>
      <c r="F687" s="487"/>
      <c r="G687" s="487"/>
      <c r="H687" s="488"/>
    </row>
    <row r="688" spans="1:8" x14ac:dyDescent="0.2">
      <c r="A688" s="151">
        <v>5310</v>
      </c>
      <c r="B688" s="487" t="s">
        <v>209</v>
      </c>
      <c r="C688" s="487"/>
      <c r="D688" s="487"/>
      <c r="E688" s="487"/>
      <c r="F688" s="487"/>
      <c r="G688" s="487"/>
      <c r="H688" s="488"/>
    </row>
    <row r="689" spans="1:8" x14ac:dyDescent="0.2">
      <c r="A689" s="151">
        <v>5320</v>
      </c>
      <c r="B689" s="487" t="s">
        <v>2166</v>
      </c>
      <c r="C689" s="487"/>
      <c r="D689" s="487"/>
      <c r="E689" s="487"/>
      <c r="F689" s="487"/>
      <c r="G689" s="487"/>
      <c r="H689" s="488"/>
    </row>
    <row r="690" spans="1:8" x14ac:dyDescent="0.2">
      <c r="A690" s="151">
        <v>5510</v>
      </c>
      <c r="B690" s="487" t="s">
        <v>2167</v>
      </c>
      <c r="C690" s="487"/>
      <c r="D690" s="487"/>
      <c r="E690" s="487"/>
      <c r="F690" s="487"/>
      <c r="G690" s="487"/>
      <c r="H690" s="488"/>
    </row>
    <row r="691" spans="1:8" x14ac:dyDescent="0.2">
      <c r="A691" s="151">
        <v>5520</v>
      </c>
      <c r="B691" s="487" t="s">
        <v>2411</v>
      </c>
      <c r="C691" s="487"/>
      <c r="D691" s="487"/>
      <c r="E691" s="487"/>
      <c r="F691" s="487"/>
      <c r="G691" s="487"/>
      <c r="H691" s="488"/>
    </row>
    <row r="692" spans="1:8" x14ac:dyDescent="0.2">
      <c r="A692" s="151">
        <v>5530</v>
      </c>
      <c r="B692" s="487" t="s">
        <v>2412</v>
      </c>
      <c r="C692" s="487"/>
      <c r="D692" s="487"/>
      <c r="E692" s="487"/>
      <c r="F692" s="487"/>
      <c r="G692" s="487"/>
      <c r="H692" s="488"/>
    </row>
    <row r="693" spans="1:8" x14ac:dyDescent="0.2">
      <c r="A693" s="151">
        <v>5590</v>
      </c>
      <c r="B693" s="487" t="s">
        <v>1452</v>
      </c>
      <c r="C693" s="487"/>
      <c r="D693" s="487"/>
      <c r="E693" s="487"/>
      <c r="F693" s="487"/>
      <c r="G693" s="487"/>
      <c r="H693" s="488"/>
    </row>
    <row r="694" spans="1:8" x14ac:dyDescent="0.2">
      <c r="A694" s="151">
        <v>5610</v>
      </c>
      <c r="B694" s="487" t="s">
        <v>3413</v>
      </c>
      <c r="C694" s="487"/>
      <c r="D694" s="487"/>
      <c r="E694" s="487"/>
      <c r="F694" s="487"/>
      <c r="G694" s="487"/>
      <c r="H694" s="488"/>
    </row>
    <row r="695" spans="1:8" x14ac:dyDescent="0.2">
      <c r="A695" s="151">
        <v>5621</v>
      </c>
      <c r="B695" s="487" t="s">
        <v>3414</v>
      </c>
      <c r="C695" s="487"/>
      <c r="D695" s="487"/>
      <c r="E695" s="487"/>
      <c r="F695" s="487"/>
      <c r="G695" s="487"/>
      <c r="H695" s="488"/>
    </row>
    <row r="696" spans="1:8" x14ac:dyDescent="0.2">
      <c r="A696" s="151">
        <v>5629</v>
      </c>
      <c r="B696" s="487" t="s">
        <v>3415</v>
      </c>
      <c r="C696" s="487"/>
      <c r="D696" s="487"/>
      <c r="E696" s="487"/>
      <c r="F696" s="487"/>
      <c r="G696" s="487"/>
      <c r="H696" s="488"/>
    </row>
    <row r="697" spans="1:8" x14ac:dyDescent="0.2">
      <c r="A697" s="151">
        <v>5630</v>
      </c>
      <c r="B697" s="487" t="s">
        <v>3416</v>
      </c>
      <c r="C697" s="487"/>
      <c r="D697" s="487"/>
      <c r="E697" s="487"/>
      <c r="F697" s="487"/>
      <c r="G697" s="487"/>
      <c r="H697" s="488"/>
    </row>
    <row r="698" spans="1:8" x14ac:dyDescent="0.2">
      <c r="A698" s="151">
        <v>5811</v>
      </c>
      <c r="B698" s="487" t="s">
        <v>3112</v>
      </c>
      <c r="C698" s="487"/>
      <c r="D698" s="487"/>
      <c r="E698" s="487"/>
      <c r="F698" s="487"/>
      <c r="G698" s="487"/>
      <c r="H698" s="488"/>
    </row>
    <row r="699" spans="1:8" x14ac:dyDescent="0.2">
      <c r="A699" s="151">
        <v>5812</v>
      </c>
      <c r="B699" s="487" t="s">
        <v>3517</v>
      </c>
      <c r="C699" s="487"/>
      <c r="D699" s="487"/>
      <c r="E699" s="487"/>
      <c r="F699" s="487"/>
      <c r="G699" s="487"/>
      <c r="H699" s="488"/>
    </row>
    <row r="700" spans="1:8" x14ac:dyDescent="0.2">
      <c r="A700" s="151">
        <v>5813</v>
      </c>
      <c r="B700" s="487" t="s">
        <v>3113</v>
      </c>
      <c r="C700" s="487"/>
      <c r="D700" s="487"/>
      <c r="E700" s="487"/>
      <c r="F700" s="487"/>
      <c r="G700" s="487"/>
      <c r="H700" s="488"/>
    </row>
    <row r="701" spans="1:8" x14ac:dyDescent="0.2">
      <c r="A701" s="151">
        <v>5814</v>
      </c>
      <c r="B701" s="487" t="s">
        <v>1215</v>
      </c>
      <c r="C701" s="487"/>
      <c r="D701" s="487"/>
      <c r="E701" s="487"/>
      <c r="F701" s="487"/>
      <c r="G701" s="487"/>
      <c r="H701" s="488"/>
    </row>
    <row r="702" spans="1:8" x14ac:dyDescent="0.2">
      <c r="A702" s="151">
        <v>5819</v>
      </c>
      <c r="B702" s="487" t="s">
        <v>1216</v>
      </c>
      <c r="C702" s="487"/>
      <c r="D702" s="487"/>
      <c r="E702" s="487"/>
      <c r="F702" s="487"/>
      <c r="G702" s="487"/>
      <c r="H702" s="488"/>
    </row>
    <row r="703" spans="1:8" x14ac:dyDescent="0.2">
      <c r="A703" s="151">
        <v>5821</v>
      </c>
      <c r="B703" s="487" t="s">
        <v>2566</v>
      </c>
      <c r="C703" s="487"/>
      <c r="D703" s="487"/>
      <c r="E703" s="487"/>
      <c r="F703" s="487"/>
      <c r="G703" s="487"/>
      <c r="H703" s="488"/>
    </row>
    <row r="704" spans="1:8" x14ac:dyDescent="0.2">
      <c r="A704" s="151">
        <v>5829</v>
      </c>
      <c r="B704" s="487" t="s">
        <v>2567</v>
      </c>
      <c r="C704" s="487"/>
      <c r="D704" s="487"/>
      <c r="E704" s="487"/>
      <c r="F704" s="487"/>
      <c r="G704" s="487"/>
      <c r="H704" s="488"/>
    </row>
    <row r="705" spans="1:8" x14ac:dyDescent="0.2">
      <c r="A705" s="151">
        <v>5911</v>
      </c>
      <c r="B705" s="487" t="s">
        <v>2568</v>
      </c>
      <c r="C705" s="487"/>
      <c r="D705" s="487"/>
      <c r="E705" s="487"/>
      <c r="F705" s="487"/>
      <c r="G705" s="487"/>
      <c r="H705" s="488"/>
    </row>
    <row r="706" spans="1:8" x14ac:dyDescent="0.2">
      <c r="A706" s="151">
        <v>5912</v>
      </c>
      <c r="B706" s="487" t="s">
        <v>2569</v>
      </c>
      <c r="C706" s="487"/>
      <c r="D706" s="487"/>
      <c r="E706" s="487"/>
      <c r="F706" s="487"/>
      <c r="G706" s="487"/>
      <c r="H706" s="488"/>
    </row>
    <row r="707" spans="1:8" x14ac:dyDescent="0.2">
      <c r="A707" s="151">
        <v>5913</v>
      </c>
      <c r="B707" s="487" t="s">
        <v>2570</v>
      </c>
      <c r="C707" s="487"/>
      <c r="D707" s="487"/>
      <c r="E707" s="487"/>
      <c r="F707" s="487"/>
      <c r="G707" s="487"/>
      <c r="H707" s="488"/>
    </row>
    <row r="708" spans="1:8" x14ac:dyDescent="0.2">
      <c r="A708" s="151">
        <v>5914</v>
      </c>
      <c r="B708" s="487" t="s">
        <v>2571</v>
      </c>
      <c r="C708" s="487"/>
      <c r="D708" s="487"/>
      <c r="E708" s="487"/>
      <c r="F708" s="487"/>
      <c r="G708" s="487"/>
      <c r="H708" s="488"/>
    </row>
    <row r="709" spans="1:8" x14ac:dyDescent="0.2">
      <c r="A709" s="151">
        <v>5920</v>
      </c>
      <c r="B709" s="487" t="s">
        <v>2855</v>
      </c>
      <c r="C709" s="487"/>
      <c r="D709" s="487"/>
      <c r="E709" s="487"/>
      <c r="F709" s="487"/>
      <c r="G709" s="487"/>
      <c r="H709" s="488"/>
    </row>
    <row r="710" spans="1:8" x14ac:dyDescent="0.2">
      <c r="A710" s="151">
        <v>6010</v>
      </c>
      <c r="B710" s="487" t="s">
        <v>2856</v>
      </c>
      <c r="C710" s="487"/>
      <c r="D710" s="487"/>
      <c r="E710" s="487"/>
      <c r="F710" s="487"/>
      <c r="G710" s="487"/>
      <c r="H710" s="488"/>
    </row>
    <row r="711" spans="1:8" x14ac:dyDescent="0.2">
      <c r="A711" s="151">
        <v>6020</v>
      </c>
      <c r="B711" s="487" t="s">
        <v>2857</v>
      </c>
      <c r="C711" s="487"/>
      <c r="D711" s="487"/>
      <c r="E711" s="487"/>
      <c r="F711" s="487"/>
      <c r="G711" s="487"/>
      <c r="H711" s="488"/>
    </row>
    <row r="712" spans="1:8" x14ac:dyDescent="0.2">
      <c r="A712" s="151">
        <v>6110</v>
      </c>
      <c r="B712" s="487" t="s">
        <v>2858</v>
      </c>
      <c r="C712" s="487"/>
      <c r="D712" s="487"/>
      <c r="E712" s="487"/>
      <c r="F712" s="487"/>
      <c r="G712" s="487"/>
      <c r="H712" s="488"/>
    </row>
    <row r="713" spans="1:8" x14ac:dyDescent="0.2">
      <c r="A713" s="151">
        <v>6120</v>
      </c>
      <c r="B713" s="487" t="s">
        <v>2859</v>
      </c>
      <c r="C713" s="487"/>
      <c r="D713" s="487"/>
      <c r="E713" s="487"/>
      <c r="F713" s="487"/>
      <c r="G713" s="487"/>
      <c r="H713" s="488"/>
    </row>
    <row r="714" spans="1:8" x14ac:dyDescent="0.2">
      <c r="A714" s="151">
        <v>6130</v>
      </c>
      <c r="B714" s="487" t="s">
        <v>2860</v>
      </c>
      <c r="C714" s="487"/>
      <c r="D714" s="487"/>
      <c r="E714" s="487"/>
      <c r="F714" s="487"/>
      <c r="G714" s="487"/>
      <c r="H714" s="488"/>
    </row>
    <row r="715" spans="1:8" x14ac:dyDescent="0.2">
      <c r="A715" s="151">
        <v>6190</v>
      </c>
      <c r="B715" s="487" t="s">
        <v>2861</v>
      </c>
      <c r="C715" s="487"/>
      <c r="D715" s="487"/>
      <c r="E715" s="487"/>
      <c r="F715" s="487"/>
      <c r="G715" s="487"/>
      <c r="H715" s="488"/>
    </row>
    <row r="716" spans="1:8" x14ac:dyDescent="0.2">
      <c r="A716" s="151">
        <v>6201</v>
      </c>
      <c r="B716" s="487" t="s">
        <v>2862</v>
      </c>
      <c r="C716" s="487"/>
      <c r="D716" s="487"/>
      <c r="E716" s="487"/>
      <c r="F716" s="487"/>
      <c r="G716" s="487"/>
      <c r="H716" s="488"/>
    </row>
    <row r="717" spans="1:8" x14ac:dyDescent="0.2">
      <c r="A717" s="151">
        <v>6202</v>
      </c>
      <c r="B717" s="487" t="s">
        <v>2863</v>
      </c>
      <c r="C717" s="487"/>
      <c r="D717" s="487"/>
      <c r="E717" s="487"/>
      <c r="F717" s="487"/>
      <c r="G717" s="487"/>
      <c r="H717" s="488"/>
    </row>
    <row r="718" spans="1:8" x14ac:dyDescent="0.2">
      <c r="A718" s="151">
        <v>6203</v>
      </c>
      <c r="B718" s="487" t="s">
        <v>2864</v>
      </c>
      <c r="C718" s="487"/>
      <c r="D718" s="487"/>
      <c r="E718" s="487"/>
      <c r="F718" s="487"/>
      <c r="G718" s="487"/>
      <c r="H718" s="488"/>
    </row>
    <row r="719" spans="1:8" x14ac:dyDescent="0.2">
      <c r="A719" s="151">
        <v>6209</v>
      </c>
      <c r="B719" s="487" t="s">
        <v>2865</v>
      </c>
      <c r="C719" s="487"/>
      <c r="D719" s="487"/>
      <c r="E719" s="487"/>
      <c r="F719" s="487"/>
      <c r="G719" s="487"/>
      <c r="H719" s="488"/>
    </row>
    <row r="720" spans="1:8" x14ac:dyDescent="0.2">
      <c r="A720" s="151">
        <v>6311</v>
      </c>
      <c r="B720" s="487" t="s">
        <v>2866</v>
      </c>
      <c r="C720" s="487"/>
      <c r="D720" s="487"/>
      <c r="E720" s="487"/>
      <c r="F720" s="487"/>
      <c r="G720" s="487"/>
      <c r="H720" s="488"/>
    </row>
    <row r="721" spans="1:8" x14ac:dyDescent="0.2">
      <c r="A721" s="151">
        <v>6312</v>
      </c>
      <c r="B721" s="487" t="s">
        <v>2867</v>
      </c>
      <c r="C721" s="487"/>
      <c r="D721" s="487"/>
      <c r="E721" s="487"/>
      <c r="F721" s="487"/>
      <c r="G721" s="487"/>
      <c r="H721" s="488"/>
    </row>
    <row r="722" spans="1:8" x14ac:dyDescent="0.2">
      <c r="A722" s="151">
        <v>6391</v>
      </c>
      <c r="B722" s="487" t="s">
        <v>169</v>
      </c>
      <c r="C722" s="487"/>
      <c r="D722" s="487"/>
      <c r="E722" s="487"/>
      <c r="F722" s="487"/>
      <c r="G722" s="487"/>
      <c r="H722" s="488"/>
    </row>
    <row r="723" spans="1:8" x14ac:dyDescent="0.2">
      <c r="A723" s="151">
        <v>6399</v>
      </c>
      <c r="B723" s="487" t="s">
        <v>170</v>
      </c>
      <c r="C723" s="487"/>
      <c r="D723" s="487"/>
      <c r="E723" s="487"/>
      <c r="F723" s="487"/>
      <c r="G723" s="487"/>
      <c r="H723" s="488"/>
    </row>
    <row r="724" spans="1:8" x14ac:dyDescent="0.2">
      <c r="A724" s="151">
        <v>6411</v>
      </c>
      <c r="B724" s="487" t="s">
        <v>2752</v>
      </c>
      <c r="C724" s="487"/>
      <c r="D724" s="487"/>
      <c r="E724" s="487"/>
      <c r="F724" s="487"/>
      <c r="G724" s="487"/>
      <c r="H724" s="488"/>
    </row>
    <row r="725" spans="1:8" x14ac:dyDescent="0.2">
      <c r="A725" s="151">
        <v>6419</v>
      </c>
      <c r="B725" s="487" t="s">
        <v>171</v>
      </c>
      <c r="C725" s="487"/>
      <c r="D725" s="487"/>
      <c r="E725" s="487"/>
      <c r="F725" s="487"/>
      <c r="G725" s="487"/>
      <c r="H725" s="488"/>
    </row>
    <row r="726" spans="1:8" x14ac:dyDescent="0.2">
      <c r="A726" s="151">
        <v>6420</v>
      </c>
      <c r="B726" s="487" t="s">
        <v>172</v>
      </c>
      <c r="C726" s="487"/>
      <c r="D726" s="487"/>
      <c r="E726" s="487"/>
      <c r="F726" s="487"/>
      <c r="G726" s="487"/>
      <c r="H726" s="488"/>
    </row>
    <row r="727" spans="1:8" x14ac:dyDescent="0.2">
      <c r="A727" s="151">
        <v>6430</v>
      </c>
      <c r="B727" s="487" t="s">
        <v>1752</v>
      </c>
      <c r="C727" s="487"/>
      <c r="D727" s="487"/>
      <c r="E727" s="487"/>
      <c r="F727" s="487"/>
      <c r="G727" s="487"/>
      <c r="H727" s="488"/>
    </row>
    <row r="728" spans="1:8" x14ac:dyDescent="0.2">
      <c r="A728" s="151">
        <v>6491</v>
      </c>
      <c r="B728" s="487" t="s">
        <v>1753</v>
      </c>
      <c r="C728" s="487"/>
      <c r="D728" s="487"/>
      <c r="E728" s="487"/>
      <c r="F728" s="487"/>
      <c r="G728" s="487"/>
      <c r="H728" s="488"/>
    </row>
    <row r="729" spans="1:8" x14ac:dyDescent="0.2">
      <c r="A729" s="151">
        <v>6492</v>
      </c>
      <c r="B729" s="487" t="s">
        <v>2753</v>
      </c>
      <c r="C729" s="487"/>
      <c r="D729" s="487"/>
      <c r="E729" s="487"/>
      <c r="F729" s="487"/>
      <c r="G729" s="487"/>
      <c r="H729" s="488"/>
    </row>
    <row r="730" spans="1:8" x14ac:dyDescent="0.2">
      <c r="A730" s="151">
        <v>6499</v>
      </c>
      <c r="B730" s="487" t="s">
        <v>1388</v>
      </c>
      <c r="C730" s="487"/>
      <c r="D730" s="487"/>
      <c r="E730" s="487"/>
      <c r="F730" s="487"/>
      <c r="G730" s="487"/>
      <c r="H730" s="488"/>
    </row>
    <row r="731" spans="1:8" x14ac:dyDescent="0.2">
      <c r="A731" s="151">
        <v>6511</v>
      </c>
      <c r="B731" s="487" t="s">
        <v>1389</v>
      </c>
      <c r="C731" s="487"/>
      <c r="D731" s="487"/>
      <c r="E731" s="487"/>
      <c r="F731" s="487"/>
      <c r="G731" s="487"/>
      <c r="H731" s="488"/>
    </row>
    <row r="732" spans="1:8" x14ac:dyDescent="0.2">
      <c r="A732" s="151">
        <v>6512</v>
      </c>
      <c r="B732" s="487" t="s">
        <v>2930</v>
      </c>
      <c r="C732" s="487"/>
      <c r="D732" s="487"/>
      <c r="E732" s="487"/>
      <c r="F732" s="487"/>
      <c r="G732" s="487"/>
      <c r="H732" s="488"/>
    </row>
    <row r="733" spans="1:8" x14ac:dyDescent="0.2">
      <c r="A733" s="151">
        <v>6520</v>
      </c>
      <c r="B733" s="487" t="s">
        <v>1390</v>
      </c>
      <c r="C733" s="487"/>
      <c r="D733" s="487"/>
      <c r="E733" s="487"/>
      <c r="F733" s="487"/>
      <c r="G733" s="487"/>
      <c r="H733" s="488"/>
    </row>
    <row r="734" spans="1:8" x14ac:dyDescent="0.2">
      <c r="A734" s="151">
        <v>6530</v>
      </c>
      <c r="B734" s="487" t="s">
        <v>2929</v>
      </c>
      <c r="C734" s="487"/>
      <c r="D734" s="487"/>
      <c r="E734" s="487"/>
      <c r="F734" s="487"/>
      <c r="G734" s="487"/>
      <c r="H734" s="488"/>
    </row>
    <row r="735" spans="1:8" x14ac:dyDescent="0.2">
      <c r="A735" s="151">
        <v>6611</v>
      </c>
      <c r="B735" s="487" t="s">
        <v>2747</v>
      </c>
      <c r="C735" s="487"/>
      <c r="D735" s="487"/>
      <c r="E735" s="487"/>
      <c r="F735" s="487"/>
      <c r="G735" s="487"/>
      <c r="H735" s="488"/>
    </row>
    <row r="736" spans="1:8" x14ac:dyDescent="0.2">
      <c r="A736" s="151">
        <v>6612</v>
      </c>
      <c r="B736" s="487" t="s">
        <v>2622</v>
      </c>
      <c r="C736" s="487"/>
      <c r="D736" s="487"/>
      <c r="E736" s="487"/>
      <c r="F736" s="487"/>
      <c r="G736" s="487"/>
      <c r="H736" s="488"/>
    </row>
    <row r="737" spans="1:8" x14ac:dyDescent="0.2">
      <c r="A737" s="151">
        <v>6619</v>
      </c>
      <c r="B737" s="487" t="s">
        <v>2623</v>
      </c>
      <c r="C737" s="487"/>
      <c r="D737" s="487"/>
      <c r="E737" s="487"/>
      <c r="F737" s="487"/>
      <c r="G737" s="487"/>
      <c r="H737" s="488"/>
    </row>
    <row r="738" spans="1:8" x14ac:dyDescent="0.2">
      <c r="A738" s="151">
        <v>6621</v>
      </c>
      <c r="B738" s="487" t="s">
        <v>2624</v>
      </c>
      <c r="C738" s="487"/>
      <c r="D738" s="487"/>
      <c r="E738" s="487"/>
      <c r="F738" s="487"/>
      <c r="G738" s="487"/>
      <c r="H738" s="488"/>
    </row>
    <row r="739" spans="1:8" x14ac:dyDescent="0.2">
      <c r="A739" s="151">
        <v>6622</v>
      </c>
      <c r="B739" s="487" t="s">
        <v>2625</v>
      </c>
      <c r="C739" s="487"/>
      <c r="D739" s="487"/>
      <c r="E739" s="487"/>
      <c r="F739" s="487"/>
      <c r="G739" s="487"/>
      <c r="H739" s="488"/>
    </row>
    <row r="740" spans="1:8" x14ac:dyDescent="0.2">
      <c r="A740" s="151">
        <v>6629</v>
      </c>
      <c r="B740" s="487" t="s">
        <v>2626</v>
      </c>
      <c r="C740" s="487"/>
      <c r="D740" s="487"/>
      <c r="E740" s="487"/>
      <c r="F740" s="487"/>
      <c r="G740" s="487"/>
      <c r="H740" s="488"/>
    </row>
    <row r="741" spans="1:8" x14ac:dyDescent="0.2">
      <c r="A741" s="151">
        <v>6630</v>
      </c>
      <c r="B741" s="487" t="s">
        <v>2627</v>
      </c>
      <c r="C741" s="487"/>
      <c r="D741" s="487"/>
      <c r="E741" s="487"/>
      <c r="F741" s="487"/>
      <c r="G741" s="487"/>
      <c r="H741" s="488"/>
    </row>
    <row r="742" spans="1:8" x14ac:dyDescent="0.2">
      <c r="A742" s="151">
        <v>6810</v>
      </c>
      <c r="B742" s="487" t="s">
        <v>2628</v>
      </c>
      <c r="C742" s="487"/>
      <c r="D742" s="487"/>
      <c r="E742" s="487"/>
      <c r="F742" s="487"/>
      <c r="G742" s="487"/>
      <c r="H742" s="488"/>
    </row>
    <row r="743" spans="1:8" x14ac:dyDescent="0.2">
      <c r="A743" s="151">
        <v>6820</v>
      </c>
      <c r="B743" s="487" t="s">
        <v>2629</v>
      </c>
      <c r="C743" s="487"/>
      <c r="D743" s="487"/>
      <c r="E743" s="487"/>
      <c r="F743" s="487"/>
      <c r="G743" s="487"/>
      <c r="H743" s="488"/>
    </row>
    <row r="744" spans="1:8" x14ac:dyDescent="0.2">
      <c r="A744" s="151">
        <v>6831</v>
      </c>
      <c r="B744" s="487" t="s">
        <v>2630</v>
      </c>
      <c r="C744" s="487"/>
      <c r="D744" s="487"/>
      <c r="E744" s="487"/>
      <c r="F744" s="487"/>
      <c r="G744" s="487"/>
      <c r="H744" s="488"/>
    </row>
    <row r="745" spans="1:8" x14ac:dyDescent="0.2">
      <c r="A745" s="151">
        <v>6832</v>
      </c>
      <c r="B745" s="487" t="s">
        <v>2631</v>
      </c>
      <c r="C745" s="487"/>
      <c r="D745" s="487"/>
      <c r="E745" s="487"/>
      <c r="F745" s="487"/>
      <c r="G745" s="487"/>
      <c r="H745" s="488"/>
    </row>
    <row r="746" spans="1:8" x14ac:dyDescent="0.2">
      <c r="A746" s="151">
        <v>6910</v>
      </c>
      <c r="B746" s="487" t="s">
        <v>2632</v>
      </c>
      <c r="C746" s="487"/>
      <c r="D746" s="487"/>
      <c r="E746" s="487"/>
      <c r="F746" s="487"/>
      <c r="G746" s="487"/>
      <c r="H746" s="488"/>
    </row>
    <row r="747" spans="1:8" x14ac:dyDescent="0.2">
      <c r="A747" s="151">
        <v>6920</v>
      </c>
      <c r="B747" s="487" t="s">
        <v>2633</v>
      </c>
      <c r="C747" s="487"/>
      <c r="D747" s="487"/>
      <c r="E747" s="487"/>
      <c r="F747" s="487"/>
      <c r="G747" s="487"/>
      <c r="H747" s="488"/>
    </row>
    <row r="748" spans="1:8" x14ac:dyDescent="0.2">
      <c r="A748" s="151">
        <v>7010</v>
      </c>
      <c r="B748" s="487" t="s">
        <v>2886</v>
      </c>
      <c r="C748" s="487"/>
      <c r="D748" s="487"/>
      <c r="E748" s="487"/>
      <c r="F748" s="487"/>
      <c r="G748" s="487"/>
      <c r="H748" s="488"/>
    </row>
    <row r="749" spans="1:8" x14ac:dyDescent="0.2">
      <c r="A749" s="151">
        <v>7021</v>
      </c>
      <c r="B749" s="487" t="s">
        <v>657</v>
      </c>
      <c r="C749" s="487"/>
      <c r="D749" s="487"/>
      <c r="E749" s="487"/>
      <c r="F749" s="487"/>
      <c r="G749" s="487"/>
      <c r="H749" s="488"/>
    </row>
    <row r="750" spans="1:8" x14ac:dyDescent="0.2">
      <c r="A750" s="151">
        <v>7022</v>
      </c>
      <c r="B750" s="487" t="s">
        <v>658</v>
      </c>
      <c r="C750" s="487"/>
      <c r="D750" s="487"/>
      <c r="E750" s="487"/>
      <c r="F750" s="487"/>
      <c r="G750" s="487"/>
      <c r="H750" s="488"/>
    </row>
    <row r="751" spans="1:8" x14ac:dyDescent="0.2">
      <c r="A751" s="151">
        <v>7111</v>
      </c>
      <c r="B751" s="487" t="s">
        <v>659</v>
      </c>
      <c r="C751" s="487"/>
      <c r="D751" s="487"/>
      <c r="E751" s="487"/>
      <c r="F751" s="487"/>
      <c r="G751" s="487"/>
      <c r="H751" s="488"/>
    </row>
    <row r="752" spans="1:8" x14ac:dyDescent="0.2">
      <c r="A752" s="151">
        <v>7112</v>
      </c>
      <c r="B752" s="487" t="s">
        <v>660</v>
      </c>
      <c r="C752" s="487"/>
      <c r="D752" s="487"/>
      <c r="E752" s="487"/>
      <c r="F752" s="487"/>
      <c r="G752" s="487"/>
      <c r="H752" s="488"/>
    </row>
    <row r="753" spans="1:8" x14ac:dyDescent="0.2">
      <c r="A753" s="151">
        <v>7120</v>
      </c>
      <c r="B753" s="487" t="s">
        <v>3745</v>
      </c>
      <c r="C753" s="487"/>
      <c r="D753" s="487"/>
      <c r="E753" s="487"/>
      <c r="F753" s="487"/>
      <c r="G753" s="487"/>
      <c r="H753" s="488"/>
    </row>
    <row r="754" spans="1:8" x14ac:dyDescent="0.2">
      <c r="A754" s="151">
        <v>7211</v>
      </c>
      <c r="B754" s="487" t="s">
        <v>661</v>
      </c>
      <c r="C754" s="487"/>
      <c r="D754" s="487"/>
      <c r="E754" s="487"/>
      <c r="F754" s="487"/>
      <c r="G754" s="487"/>
      <c r="H754" s="488"/>
    </row>
    <row r="755" spans="1:8" x14ac:dyDescent="0.2">
      <c r="A755" s="151">
        <v>7219</v>
      </c>
      <c r="B755" s="487" t="s">
        <v>662</v>
      </c>
      <c r="C755" s="487"/>
      <c r="D755" s="487"/>
      <c r="E755" s="487"/>
      <c r="F755" s="487"/>
      <c r="G755" s="487"/>
      <c r="H755" s="488"/>
    </row>
    <row r="756" spans="1:8" x14ac:dyDescent="0.2">
      <c r="A756" s="151">
        <v>7220</v>
      </c>
      <c r="B756" s="487" t="s">
        <v>2097</v>
      </c>
      <c r="C756" s="487"/>
      <c r="D756" s="487"/>
      <c r="E756" s="487"/>
      <c r="F756" s="487"/>
      <c r="G756" s="487"/>
      <c r="H756" s="488"/>
    </row>
    <row r="757" spans="1:8" x14ac:dyDescent="0.2">
      <c r="A757" s="151">
        <v>7311</v>
      </c>
      <c r="B757" s="487" t="s">
        <v>1001</v>
      </c>
      <c r="C757" s="487"/>
      <c r="D757" s="487"/>
      <c r="E757" s="487"/>
      <c r="F757" s="487"/>
      <c r="G757" s="487"/>
      <c r="H757" s="488"/>
    </row>
    <row r="758" spans="1:8" x14ac:dyDescent="0.2">
      <c r="A758" s="151">
        <v>7312</v>
      </c>
      <c r="B758" s="487" t="s">
        <v>2107</v>
      </c>
      <c r="C758" s="487"/>
      <c r="D758" s="487"/>
      <c r="E758" s="487"/>
      <c r="F758" s="487"/>
      <c r="G758" s="487"/>
      <c r="H758" s="488"/>
    </row>
    <row r="759" spans="1:8" x14ac:dyDescent="0.2">
      <c r="A759" s="151">
        <v>7320</v>
      </c>
      <c r="B759" s="487" t="s">
        <v>2108</v>
      </c>
      <c r="C759" s="487"/>
      <c r="D759" s="487"/>
      <c r="E759" s="487"/>
      <c r="F759" s="487"/>
      <c r="G759" s="487"/>
      <c r="H759" s="488"/>
    </row>
    <row r="760" spans="1:8" x14ac:dyDescent="0.2">
      <c r="A760" s="151">
        <v>7410</v>
      </c>
      <c r="B760" s="487" t="s">
        <v>2109</v>
      </c>
      <c r="C760" s="487"/>
      <c r="D760" s="487"/>
      <c r="E760" s="487"/>
      <c r="F760" s="487"/>
      <c r="G760" s="487"/>
      <c r="H760" s="488"/>
    </row>
    <row r="761" spans="1:8" x14ac:dyDescent="0.2">
      <c r="A761" s="151">
        <v>7420</v>
      </c>
      <c r="B761" s="487" t="s">
        <v>3746</v>
      </c>
      <c r="C761" s="487"/>
      <c r="D761" s="487"/>
      <c r="E761" s="487"/>
      <c r="F761" s="487"/>
      <c r="G761" s="487"/>
      <c r="H761" s="488"/>
    </row>
    <row r="762" spans="1:8" x14ac:dyDescent="0.2">
      <c r="A762" s="151">
        <v>7430</v>
      </c>
      <c r="B762" s="487" t="s">
        <v>2110</v>
      </c>
      <c r="C762" s="487"/>
      <c r="D762" s="487"/>
      <c r="E762" s="487"/>
      <c r="F762" s="487"/>
      <c r="G762" s="487"/>
      <c r="H762" s="488"/>
    </row>
    <row r="763" spans="1:8" x14ac:dyDescent="0.2">
      <c r="A763" s="151">
        <v>7490</v>
      </c>
      <c r="B763" s="487" t="s">
        <v>2111</v>
      </c>
      <c r="C763" s="487"/>
      <c r="D763" s="487"/>
      <c r="E763" s="487"/>
      <c r="F763" s="487"/>
      <c r="G763" s="487"/>
      <c r="H763" s="488"/>
    </row>
    <row r="764" spans="1:8" x14ac:dyDescent="0.2">
      <c r="A764" s="151">
        <v>7500</v>
      </c>
      <c r="B764" s="487" t="s">
        <v>1643</v>
      </c>
      <c r="C764" s="487"/>
      <c r="D764" s="487"/>
      <c r="E764" s="487"/>
      <c r="F764" s="487"/>
      <c r="G764" s="487"/>
      <c r="H764" s="488"/>
    </row>
    <row r="765" spans="1:8" x14ac:dyDescent="0.2">
      <c r="A765" s="151">
        <v>7711</v>
      </c>
      <c r="B765" s="487" t="s">
        <v>3980</v>
      </c>
      <c r="C765" s="487"/>
      <c r="D765" s="487"/>
      <c r="E765" s="487"/>
      <c r="F765" s="487"/>
      <c r="G765" s="487"/>
      <c r="H765" s="488"/>
    </row>
    <row r="766" spans="1:8" x14ac:dyDescent="0.2">
      <c r="A766" s="151">
        <v>7712</v>
      </c>
      <c r="B766" s="487" t="s">
        <v>3981</v>
      </c>
      <c r="C766" s="487"/>
      <c r="D766" s="487"/>
      <c r="E766" s="487"/>
      <c r="F766" s="487"/>
      <c r="G766" s="487"/>
      <c r="H766" s="488"/>
    </row>
    <row r="767" spans="1:8" x14ac:dyDescent="0.2">
      <c r="A767" s="151">
        <v>7721</v>
      </c>
      <c r="B767" s="487" t="s">
        <v>1871</v>
      </c>
      <c r="C767" s="487"/>
      <c r="D767" s="487"/>
      <c r="E767" s="487"/>
      <c r="F767" s="487"/>
      <c r="G767" s="487"/>
      <c r="H767" s="488"/>
    </row>
    <row r="768" spans="1:8" x14ac:dyDescent="0.2">
      <c r="A768" s="151">
        <v>7722</v>
      </c>
      <c r="B768" s="487" t="s">
        <v>3045</v>
      </c>
      <c r="C768" s="487"/>
      <c r="D768" s="487"/>
      <c r="E768" s="487"/>
      <c r="F768" s="487"/>
      <c r="G768" s="487"/>
      <c r="H768" s="488"/>
    </row>
    <row r="769" spans="1:8" x14ac:dyDescent="0.2">
      <c r="A769" s="151">
        <v>7729</v>
      </c>
      <c r="B769" s="487" t="s">
        <v>3046</v>
      </c>
      <c r="C769" s="487"/>
      <c r="D769" s="487"/>
      <c r="E769" s="487"/>
      <c r="F769" s="487"/>
      <c r="G769" s="487"/>
      <c r="H769" s="488"/>
    </row>
    <row r="770" spans="1:8" x14ac:dyDescent="0.2">
      <c r="A770" s="151">
        <v>7731</v>
      </c>
      <c r="B770" s="487" t="s">
        <v>3318</v>
      </c>
      <c r="C770" s="487"/>
      <c r="D770" s="487"/>
      <c r="E770" s="487"/>
      <c r="F770" s="487"/>
      <c r="G770" s="487"/>
      <c r="H770" s="488"/>
    </row>
    <row r="771" spans="1:8" x14ac:dyDescent="0.2">
      <c r="A771" s="151">
        <v>7732</v>
      </c>
      <c r="B771" s="487" t="s">
        <v>2030</v>
      </c>
      <c r="C771" s="487"/>
      <c r="D771" s="487"/>
      <c r="E771" s="487"/>
      <c r="F771" s="487"/>
      <c r="G771" s="487"/>
      <c r="H771" s="488"/>
    </row>
    <row r="772" spans="1:8" x14ac:dyDescent="0.2">
      <c r="A772" s="151">
        <v>7733</v>
      </c>
      <c r="B772" s="487" t="s">
        <v>1728</v>
      </c>
      <c r="C772" s="487"/>
      <c r="D772" s="487"/>
      <c r="E772" s="487"/>
      <c r="F772" s="487"/>
      <c r="G772" s="487"/>
      <c r="H772" s="488"/>
    </row>
    <row r="773" spans="1:8" x14ac:dyDescent="0.2">
      <c r="A773" s="151">
        <v>7734</v>
      </c>
      <c r="B773" s="487" t="s">
        <v>1729</v>
      </c>
      <c r="C773" s="487"/>
      <c r="D773" s="487"/>
      <c r="E773" s="487"/>
      <c r="F773" s="487"/>
      <c r="G773" s="487"/>
      <c r="H773" s="488"/>
    </row>
    <row r="774" spans="1:8" x14ac:dyDescent="0.2">
      <c r="A774" s="151">
        <v>7735</v>
      </c>
      <c r="B774" s="487" t="s">
        <v>2979</v>
      </c>
      <c r="C774" s="487"/>
      <c r="D774" s="487"/>
      <c r="E774" s="487"/>
      <c r="F774" s="487"/>
      <c r="G774" s="487"/>
      <c r="H774" s="488"/>
    </row>
    <row r="775" spans="1:8" x14ac:dyDescent="0.2">
      <c r="A775" s="151">
        <v>7739</v>
      </c>
      <c r="B775" s="487" t="s">
        <v>3972</v>
      </c>
      <c r="C775" s="487"/>
      <c r="D775" s="487"/>
      <c r="E775" s="487"/>
      <c r="F775" s="487"/>
      <c r="G775" s="487"/>
      <c r="H775" s="488"/>
    </row>
    <row r="776" spans="1:8" x14ac:dyDescent="0.2">
      <c r="A776" s="151">
        <v>7740</v>
      </c>
      <c r="B776" s="487" t="s">
        <v>4092</v>
      </c>
      <c r="C776" s="487"/>
      <c r="D776" s="487"/>
      <c r="E776" s="487"/>
      <c r="F776" s="487"/>
      <c r="G776" s="487"/>
      <c r="H776" s="488"/>
    </row>
    <row r="777" spans="1:8" x14ac:dyDescent="0.2">
      <c r="A777" s="151">
        <v>7810</v>
      </c>
      <c r="B777" s="487" t="s">
        <v>4093</v>
      </c>
      <c r="C777" s="487"/>
      <c r="D777" s="487"/>
      <c r="E777" s="487"/>
      <c r="F777" s="487"/>
      <c r="G777" s="487"/>
      <c r="H777" s="488"/>
    </row>
    <row r="778" spans="1:8" x14ac:dyDescent="0.2">
      <c r="A778" s="151">
        <v>7820</v>
      </c>
      <c r="B778" s="487" t="s">
        <v>4094</v>
      </c>
      <c r="C778" s="487"/>
      <c r="D778" s="487"/>
      <c r="E778" s="487"/>
      <c r="F778" s="487"/>
      <c r="G778" s="487"/>
      <c r="H778" s="488"/>
    </row>
    <row r="779" spans="1:8" x14ac:dyDescent="0.2">
      <c r="A779" s="151">
        <v>7830</v>
      </c>
      <c r="B779" s="487" t="s">
        <v>1434</v>
      </c>
      <c r="C779" s="487"/>
      <c r="D779" s="487"/>
      <c r="E779" s="487"/>
      <c r="F779" s="487"/>
      <c r="G779" s="487"/>
      <c r="H779" s="488"/>
    </row>
    <row r="780" spans="1:8" x14ac:dyDescent="0.2">
      <c r="A780" s="151">
        <v>7911</v>
      </c>
      <c r="B780" s="487" t="s">
        <v>1435</v>
      </c>
      <c r="C780" s="487"/>
      <c r="D780" s="487"/>
      <c r="E780" s="487"/>
      <c r="F780" s="487"/>
      <c r="G780" s="487"/>
      <c r="H780" s="488"/>
    </row>
    <row r="781" spans="1:8" x14ac:dyDescent="0.2">
      <c r="A781" s="151">
        <v>7912</v>
      </c>
      <c r="B781" s="487" t="s">
        <v>1436</v>
      </c>
      <c r="C781" s="487"/>
      <c r="D781" s="487"/>
      <c r="E781" s="487"/>
      <c r="F781" s="487"/>
      <c r="G781" s="487"/>
      <c r="H781" s="488"/>
    </row>
    <row r="782" spans="1:8" x14ac:dyDescent="0.2">
      <c r="A782" s="151">
        <v>7990</v>
      </c>
      <c r="B782" s="487" t="s">
        <v>201</v>
      </c>
      <c r="C782" s="487"/>
      <c r="D782" s="487"/>
      <c r="E782" s="487"/>
      <c r="F782" s="487"/>
      <c r="G782" s="487"/>
      <c r="H782" s="488"/>
    </row>
    <row r="783" spans="1:8" x14ac:dyDescent="0.2">
      <c r="A783" s="151">
        <v>8010</v>
      </c>
      <c r="B783" s="487" t="s">
        <v>202</v>
      </c>
      <c r="C783" s="487"/>
      <c r="D783" s="487"/>
      <c r="E783" s="487"/>
      <c r="F783" s="487"/>
      <c r="G783" s="487"/>
      <c r="H783" s="488"/>
    </row>
    <row r="784" spans="1:8" x14ac:dyDescent="0.2">
      <c r="A784" s="151">
        <v>8020</v>
      </c>
      <c r="B784" s="487" t="s">
        <v>2636</v>
      </c>
      <c r="C784" s="487"/>
      <c r="D784" s="487"/>
      <c r="E784" s="487"/>
      <c r="F784" s="487"/>
      <c r="G784" s="487"/>
      <c r="H784" s="488"/>
    </row>
    <row r="785" spans="1:8" x14ac:dyDescent="0.2">
      <c r="A785" s="151">
        <v>8030</v>
      </c>
      <c r="B785" s="487" t="s">
        <v>2637</v>
      </c>
      <c r="C785" s="487"/>
      <c r="D785" s="487"/>
      <c r="E785" s="487"/>
      <c r="F785" s="487"/>
      <c r="G785" s="487"/>
      <c r="H785" s="488"/>
    </row>
    <row r="786" spans="1:8" x14ac:dyDescent="0.2">
      <c r="A786" s="151">
        <v>8110</v>
      </c>
      <c r="B786" s="487" t="s">
        <v>2638</v>
      </c>
      <c r="C786" s="487"/>
      <c r="D786" s="487"/>
      <c r="E786" s="487"/>
      <c r="F786" s="487"/>
      <c r="G786" s="487"/>
      <c r="H786" s="488"/>
    </row>
    <row r="787" spans="1:8" x14ac:dyDescent="0.2">
      <c r="A787" s="151">
        <v>8121</v>
      </c>
      <c r="B787" s="487" t="s">
        <v>2639</v>
      </c>
      <c r="C787" s="487"/>
      <c r="D787" s="487"/>
      <c r="E787" s="487"/>
      <c r="F787" s="487"/>
      <c r="G787" s="487"/>
      <c r="H787" s="488"/>
    </row>
    <row r="788" spans="1:8" x14ac:dyDescent="0.2">
      <c r="A788" s="151">
        <v>8122</v>
      </c>
      <c r="B788" s="487" t="s">
        <v>2640</v>
      </c>
      <c r="C788" s="487"/>
      <c r="D788" s="487"/>
      <c r="E788" s="487"/>
      <c r="F788" s="487"/>
      <c r="G788" s="487"/>
      <c r="H788" s="488"/>
    </row>
    <row r="789" spans="1:8" x14ac:dyDescent="0.2">
      <c r="A789" s="151">
        <v>8129</v>
      </c>
      <c r="B789" s="487" t="s">
        <v>1679</v>
      </c>
      <c r="C789" s="487"/>
      <c r="D789" s="487"/>
      <c r="E789" s="487"/>
      <c r="F789" s="487"/>
      <c r="G789" s="487"/>
      <c r="H789" s="488"/>
    </row>
    <row r="790" spans="1:8" x14ac:dyDescent="0.2">
      <c r="A790" s="151">
        <v>8130</v>
      </c>
      <c r="B790" s="487" t="s">
        <v>2558</v>
      </c>
      <c r="C790" s="487"/>
      <c r="D790" s="487"/>
      <c r="E790" s="487"/>
      <c r="F790" s="487"/>
      <c r="G790" s="487"/>
      <c r="H790" s="488"/>
    </row>
    <row r="791" spans="1:8" x14ac:dyDescent="0.2">
      <c r="A791" s="151">
        <v>8211</v>
      </c>
      <c r="B791" s="487" t="s">
        <v>2268</v>
      </c>
      <c r="C791" s="487"/>
      <c r="D791" s="487"/>
      <c r="E791" s="487"/>
      <c r="F791" s="487"/>
      <c r="G791" s="487"/>
      <c r="H791" s="488"/>
    </row>
    <row r="792" spans="1:8" x14ac:dyDescent="0.2">
      <c r="A792" s="151">
        <v>8219</v>
      </c>
      <c r="B792" s="487" t="s">
        <v>2269</v>
      </c>
      <c r="C792" s="487"/>
      <c r="D792" s="487"/>
      <c r="E792" s="487"/>
      <c r="F792" s="487"/>
      <c r="G792" s="487"/>
      <c r="H792" s="488"/>
    </row>
    <row r="793" spans="1:8" x14ac:dyDescent="0.2">
      <c r="A793" s="151">
        <v>8220</v>
      </c>
      <c r="B793" s="487" t="s">
        <v>3748</v>
      </c>
      <c r="C793" s="487"/>
      <c r="D793" s="487"/>
      <c r="E793" s="487"/>
      <c r="F793" s="487"/>
      <c r="G793" s="487"/>
      <c r="H793" s="488"/>
    </row>
    <row r="794" spans="1:8" x14ac:dyDescent="0.2">
      <c r="A794" s="151">
        <v>8230</v>
      </c>
      <c r="B794" s="487" t="s">
        <v>2270</v>
      </c>
      <c r="C794" s="487"/>
      <c r="D794" s="487"/>
      <c r="E794" s="487"/>
      <c r="F794" s="487"/>
      <c r="G794" s="487"/>
      <c r="H794" s="488"/>
    </row>
    <row r="795" spans="1:8" x14ac:dyDescent="0.2">
      <c r="A795" s="151">
        <v>8291</v>
      </c>
      <c r="B795" s="487" t="s">
        <v>3794</v>
      </c>
      <c r="C795" s="487"/>
      <c r="D795" s="487"/>
      <c r="E795" s="487"/>
      <c r="F795" s="487"/>
      <c r="G795" s="487"/>
      <c r="H795" s="488"/>
    </row>
    <row r="796" spans="1:8" x14ac:dyDescent="0.2">
      <c r="A796" s="151">
        <v>8292</v>
      </c>
      <c r="B796" s="487" t="s">
        <v>3747</v>
      </c>
      <c r="C796" s="487"/>
      <c r="D796" s="487"/>
      <c r="E796" s="487"/>
      <c r="F796" s="487"/>
      <c r="G796" s="487"/>
      <c r="H796" s="488"/>
    </row>
    <row r="797" spans="1:8" x14ac:dyDescent="0.2">
      <c r="A797" s="151">
        <v>8299</v>
      </c>
      <c r="B797" s="487" t="s">
        <v>3795</v>
      </c>
      <c r="C797" s="487"/>
      <c r="D797" s="487"/>
      <c r="E797" s="487"/>
      <c r="F797" s="487"/>
      <c r="G797" s="487"/>
      <c r="H797" s="488"/>
    </row>
    <row r="798" spans="1:8" x14ac:dyDescent="0.2">
      <c r="A798" s="151">
        <v>8411</v>
      </c>
      <c r="B798" s="487" t="s">
        <v>3796</v>
      </c>
      <c r="C798" s="487"/>
      <c r="D798" s="487"/>
      <c r="E798" s="487"/>
      <c r="F798" s="487"/>
      <c r="G798" s="487"/>
      <c r="H798" s="488"/>
    </row>
    <row r="799" spans="1:8" x14ac:dyDescent="0.2">
      <c r="A799" s="151">
        <v>8412</v>
      </c>
      <c r="B799" s="487" t="s">
        <v>1214</v>
      </c>
      <c r="C799" s="487"/>
      <c r="D799" s="487"/>
      <c r="E799" s="487"/>
      <c r="F799" s="487"/>
      <c r="G799" s="487"/>
      <c r="H799" s="488"/>
    </row>
    <row r="800" spans="1:8" x14ac:dyDescent="0.2">
      <c r="A800" s="151">
        <v>8413</v>
      </c>
      <c r="B800" s="487" t="s">
        <v>2761</v>
      </c>
      <c r="C800" s="487"/>
      <c r="D800" s="487"/>
      <c r="E800" s="487"/>
      <c r="F800" s="487"/>
      <c r="G800" s="487"/>
      <c r="H800" s="488"/>
    </row>
    <row r="801" spans="1:8" x14ac:dyDescent="0.2">
      <c r="A801" s="151">
        <v>8421</v>
      </c>
      <c r="B801" s="487" t="s">
        <v>2932</v>
      </c>
      <c r="C801" s="487"/>
      <c r="D801" s="487"/>
      <c r="E801" s="487"/>
      <c r="F801" s="487"/>
      <c r="G801" s="487"/>
      <c r="H801" s="488"/>
    </row>
    <row r="802" spans="1:8" x14ac:dyDescent="0.2">
      <c r="A802" s="151">
        <v>8422</v>
      </c>
      <c r="B802" s="487" t="s">
        <v>2933</v>
      </c>
      <c r="C802" s="487"/>
      <c r="D802" s="487"/>
      <c r="E802" s="487"/>
      <c r="F802" s="487"/>
      <c r="G802" s="487"/>
      <c r="H802" s="488"/>
    </row>
    <row r="803" spans="1:8" x14ac:dyDescent="0.2">
      <c r="A803" s="151">
        <v>8423</v>
      </c>
      <c r="B803" s="487" t="s">
        <v>1640</v>
      </c>
      <c r="C803" s="487"/>
      <c r="D803" s="487"/>
      <c r="E803" s="487"/>
      <c r="F803" s="487"/>
      <c r="G803" s="487"/>
      <c r="H803" s="488"/>
    </row>
    <row r="804" spans="1:8" x14ac:dyDescent="0.2">
      <c r="A804" s="151">
        <v>8424</v>
      </c>
      <c r="B804" s="487" t="s">
        <v>2762</v>
      </c>
      <c r="C804" s="487"/>
      <c r="D804" s="487"/>
      <c r="E804" s="487"/>
      <c r="F804" s="487"/>
      <c r="G804" s="487"/>
      <c r="H804" s="488"/>
    </row>
    <row r="805" spans="1:8" x14ac:dyDescent="0.2">
      <c r="A805" s="151">
        <v>8425</v>
      </c>
      <c r="B805" s="487" t="s">
        <v>2763</v>
      </c>
      <c r="C805" s="487"/>
      <c r="D805" s="487"/>
      <c r="E805" s="487"/>
      <c r="F805" s="487"/>
      <c r="G805" s="487"/>
      <c r="H805" s="488"/>
    </row>
    <row r="806" spans="1:8" x14ac:dyDescent="0.2">
      <c r="A806" s="151">
        <v>8430</v>
      </c>
      <c r="B806" s="487" t="s">
        <v>531</v>
      </c>
      <c r="C806" s="487"/>
      <c r="D806" s="487"/>
      <c r="E806" s="487"/>
      <c r="F806" s="487"/>
      <c r="G806" s="487"/>
      <c r="H806" s="488"/>
    </row>
    <row r="807" spans="1:8" x14ac:dyDescent="0.2">
      <c r="A807" s="151">
        <v>8510</v>
      </c>
      <c r="B807" s="487" t="s">
        <v>1641</v>
      </c>
      <c r="C807" s="487"/>
      <c r="D807" s="487"/>
      <c r="E807" s="487"/>
      <c r="F807" s="487"/>
      <c r="G807" s="487"/>
      <c r="H807" s="488"/>
    </row>
    <row r="808" spans="1:8" x14ac:dyDescent="0.2">
      <c r="A808" s="151">
        <v>8520</v>
      </c>
      <c r="B808" s="487" t="s">
        <v>1642</v>
      </c>
      <c r="C808" s="487"/>
      <c r="D808" s="487"/>
      <c r="E808" s="487"/>
      <c r="F808" s="487"/>
      <c r="G808" s="487"/>
      <c r="H808" s="488"/>
    </row>
    <row r="809" spans="1:8" x14ac:dyDescent="0.2">
      <c r="A809" s="151">
        <v>8531</v>
      </c>
      <c r="B809" s="487" t="s">
        <v>532</v>
      </c>
      <c r="C809" s="487"/>
      <c r="D809" s="487"/>
      <c r="E809" s="487"/>
      <c r="F809" s="487"/>
      <c r="G809" s="487"/>
      <c r="H809" s="488"/>
    </row>
    <row r="810" spans="1:8" x14ac:dyDescent="0.2">
      <c r="A810" s="151">
        <v>8532</v>
      </c>
      <c r="B810" s="487" t="s">
        <v>533</v>
      </c>
      <c r="C810" s="487"/>
      <c r="D810" s="487"/>
      <c r="E810" s="487"/>
      <c r="F810" s="487"/>
      <c r="G810" s="487"/>
      <c r="H810" s="488"/>
    </row>
    <row r="811" spans="1:8" x14ac:dyDescent="0.2">
      <c r="A811" s="151">
        <v>8541</v>
      </c>
      <c r="B811" s="487" t="s">
        <v>534</v>
      </c>
      <c r="C811" s="487"/>
      <c r="D811" s="487"/>
      <c r="E811" s="487"/>
      <c r="F811" s="487"/>
      <c r="G811" s="487"/>
      <c r="H811" s="488"/>
    </row>
    <row r="812" spans="1:8" x14ac:dyDescent="0.2">
      <c r="A812" s="151">
        <v>8542</v>
      </c>
      <c r="B812" s="487" t="s">
        <v>535</v>
      </c>
      <c r="C812" s="487"/>
      <c r="D812" s="487"/>
      <c r="E812" s="487"/>
      <c r="F812" s="487"/>
      <c r="G812" s="487"/>
      <c r="H812" s="488"/>
    </row>
    <row r="813" spans="1:8" x14ac:dyDescent="0.2">
      <c r="A813" s="151">
        <v>8551</v>
      </c>
      <c r="B813" s="487" t="s">
        <v>954</v>
      </c>
      <c r="C813" s="487"/>
      <c r="D813" s="487"/>
      <c r="E813" s="487"/>
      <c r="F813" s="487"/>
      <c r="G813" s="487"/>
      <c r="H813" s="488"/>
    </row>
    <row r="814" spans="1:8" x14ac:dyDescent="0.2">
      <c r="A814" s="151">
        <v>8552</v>
      </c>
      <c r="B814" s="487" t="s">
        <v>955</v>
      </c>
      <c r="C814" s="487"/>
      <c r="D814" s="487"/>
      <c r="E814" s="487"/>
      <c r="F814" s="487"/>
      <c r="G814" s="487"/>
      <c r="H814" s="488"/>
    </row>
    <row r="815" spans="1:8" x14ac:dyDescent="0.2">
      <c r="A815" s="151">
        <v>8553</v>
      </c>
      <c r="B815" s="487" t="s">
        <v>956</v>
      </c>
      <c r="C815" s="487"/>
      <c r="D815" s="487"/>
      <c r="E815" s="487"/>
      <c r="F815" s="487"/>
      <c r="G815" s="487"/>
      <c r="H815" s="488"/>
    </row>
    <row r="816" spans="1:8" x14ac:dyDescent="0.2">
      <c r="A816" s="151">
        <v>8559</v>
      </c>
      <c r="B816" s="487" t="s">
        <v>957</v>
      </c>
      <c r="C816" s="487"/>
      <c r="D816" s="487"/>
      <c r="E816" s="487"/>
      <c r="F816" s="487"/>
      <c r="G816" s="487"/>
      <c r="H816" s="488"/>
    </row>
    <row r="817" spans="1:8" x14ac:dyDescent="0.2">
      <c r="A817" s="151">
        <v>8560</v>
      </c>
      <c r="B817" s="487" t="s">
        <v>958</v>
      </c>
      <c r="C817" s="487"/>
      <c r="D817" s="487"/>
      <c r="E817" s="487"/>
      <c r="F817" s="487"/>
      <c r="G817" s="487"/>
      <c r="H817" s="488"/>
    </row>
    <row r="818" spans="1:8" x14ac:dyDescent="0.2">
      <c r="A818" s="151">
        <v>8610</v>
      </c>
      <c r="B818" s="487" t="s">
        <v>959</v>
      </c>
      <c r="C818" s="487"/>
      <c r="D818" s="487"/>
      <c r="E818" s="487"/>
      <c r="F818" s="487"/>
      <c r="G818" s="487"/>
      <c r="H818" s="488"/>
    </row>
    <row r="819" spans="1:8" x14ac:dyDescent="0.2">
      <c r="A819" s="151">
        <v>8621</v>
      </c>
      <c r="B819" s="487" t="s">
        <v>2426</v>
      </c>
      <c r="C819" s="487"/>
      <c r="D819" s="487"/>
      <c r="E819" s="487"/>
      <c r="F819" s="487"/>
      <c r="G819" s="487"/>
      <c r="H819" s="488"/>
    </row>
    <row r="820" spans="1:8" x14ac:dyDescent="0.2">
      <c r="A820" s="151">
        <v>8622</v>
      </c>
      <c r="B820" s="487" t="s">
        <v>3163</v>
      </c>
      <c r="C820" s="487"/>
      <c r="D820" s="487"/>
      <c r="E820" s="487"/>
      <c r="F820" s="487"/>
      <c r="G820" s="487"/>
      <c r="H820" s="488"/>
    </row>
    <row r="821" spans="1:8" x14ac:dyDescent="0.2">
      <c r="A821" s="151">
        <v>8623</v>
      </c>
      <c r="B821" s="487" t="s">
        <v>842</v>
      </c>
      <c r="C821" s="487"/>
      <c r="D821" s="487"/>
      <c r="E821" s="487"/>
      <c r="F821" s="487"/>
      <c r="G821" s="487"/>
      <c r="H821" s="488"/>
    </row>
    <row r="822" spans="1:8" x14ac:dyDescent="0.2">
      <c r="A822" s="151">
        <v>8690</v>
      </c>
      <c r="B822" s="487" t="s">
        <v>843</v>
      </c>
      <c r="C822" s="487"/>
      <c r="D822" s="487"/>
      <c r="E822" s="487"/>
      <c r="F822" s="487"/>
      <c r="G822" s="487"/>
      <c r="H822" s="488"/>
    </row>
    <row r="823" spans="1:8" x14ac:dyDescent="0.2">
      <c r="A823" s="151">
        <v>8710</v>
      </c>
      <c r="B823" s="487" t="s">
        <v>844</v>
      </c>
      <c r="C823" s="487"/>
      <c r="D823" s="487"/>
      <c r="E823" s="487"/>
      <c r="F823" s="487"/>
      <c r="G823" s="487"/>
      <c r="H823" s="488"/>
    </row>
    <row r="824" spans="1:8" x14ac:dyDescent="0.2">
      <c r="A824" s="151">
        <v>8720</v>
      </c>
      <c r="B824" s="487" t="s">
        <v>210</v>
      </c>
      <c r="C824" s="487"/>
      <c r="D824" s="487"/>
      <c r="E824" s="487"/>
      <c r="F824" s="487"/>
      <c r="G824" s="487"/>
      <c r="H824" s="488"/>
    </row>
    <row r="825" spans="1:8" x14ac:dyDescent="0.2">
      <c r="A825" s="151">
        <v>8730</v>
      </c>
      <c r="B825" s="487" t="s">
        <v>1260</v>
      </c>
      <c r="C825" s="487"/>
      <c r="D825" s="487"/>
      <c r="E825" s="487"/>
      <c r="F825" s="487"/>
      <c r="G825" s="487"/>
      <c r="H825" s="488"/>
    </row>
    <row r="826" spans="1:8" x14ac:dyDescent="0.2">
      <c r="A826" s="151">
        <v>8790</v>
      </c>
      <c r="B826" s="487" t="s">
        <v>1113</v>
      </c>
      <c r="C826" s="487"/>
      <c r="D826" s="487"/>
      <c r="E826" s="487"/>
      <c r="F826" s="487"/>
      <c r="G826" s="487"/>
      <c r="H826" s="488"/>
    </row>
    <row r="827" spans="1:8" x14ac:dyDescent="0.2">
      <c r="A827" s="151">
        <v>8810</v>
      </c>
      <c r="B827" s="487" t="s">
        <v>1881</v>
      </c>
      <c r="C827" s="487"/>
      <c r="D827" s="487"/>
      <c r="E827" s="487"/>
      <c r="F827" s="487"/>
      <c r="G827" s="487"/>
      <c r="H827" s="488"/>
    </row>
    <row r="828" spans="1:8" x14ac:dyDescent="0.2">
      <c r="A828" s="151">
        <v>8891</v>
      </c>
      <c r="B828" s="487" t="s">
        <v>1493</v>
      </c>
      <c r="C828" s="487"/>
      <c r="D828" s="487"/>
      <c r="E828" s="487"/>
      <c r="F828" s="487"/>
      <c r="G828" s="487"/>
      <c r="H828" s="488"/>
    </row>
    <row r="829" spans="1:8" x14ac:dyDescent="0.2">
      <c r="A829" s="151">
        <v>8899</v>
      </c>
      <c r="B829" s="487" t="s">
        <v>2256</v>
      </c>
      <c r="C829" s="487"/>
      <c r="D829" s="487"/>
      <c r="E829" s="487"/>
      <c r="F829" s="487"/>
      <c r="G829" s="487"/>
      <c r="H829" s="488"/>
    </row>
    <row r="830" spans="1:8" x14ac:dyDescent="0.2">
      <c r="A830" s="151">
        <v>9001</v>
      </c>
      <c r="B830" s="487" t="s">
        <v>2257</v>
      </c>
      <c r="C830" s="487"/>
      <c r="D830" s="487"/>
      <c r="E830" s="487"/>
      <c r="F830" s="487"/>
      <c r="G830" s="487"/>
      <c r="H830" s="488"/>
    </row>
    <row r="831" spans="1:8" x14ac:dyDescent="0.2">
      <c r="A831" s="151">
        <v>9002</v>
      </c>
      <c r="B831" s="487" t="s">
        <v>2258</v>
      </c>
      <c r="C831" s="487"/>
      <c r="D831" s="487"/>
      <c r="E831" s="487"/>
      <c r="F831" s="487"/>
      <c r="G831" s="487"/>
      <c r="H831" s="488"/>
    </row>
    <row r="832" spans="1:8" x14ac:dyDescent="0.2">
      <c r="A832" s="151">
        <v>9003</v>
      </c>
      <c r="B832" s="487" t="s">
        <v>2259</v>
      </c>
      <c r="C832" s="487"/>
      <c r="D832" s="487"/>
      <c r="E832" s="487"/>
      <c r="F832" s="487"/>
      <c r="G832" s="487"/>
      <c r="H832" s="488"/>
    </row>
    <row r="833" spans="1:8" x14ac:dyDescent="0.2">
      <c r="A833" s="151">
        <v>9004</v>
      </c>
      <c r="B833" s="487" t="s">
        <v>2260</v>
      </c>
      <c r="C833" s="487"/>
      <c r="D833" s="487"/>
      <c r="E833" s="487"/>
      <c r="F833" s="487"/>
      <c r="G833" s="487"/>
      <c r="H833" s="488"/>
    </row>
    <row r="834" spans="1:8" x14ac:dyDescent="0.2">
      <c r="A834" s="151">
        <v>9101</v>
      </c>
      <c r="B834" s="487" t="s">
        <v>2261</v>
      </c>
      <c r="C834" s="487"/>
      <c r="D834" s="487"/>
      <c r="E834" s="487"/>
      <c r="F834" s="487"/>
      <c r="G834" s="487"/>
      <c r="H834" s="488"/>
    </row>
    <row r="835" spans="1:8" x14ac:dyDescent="0.2">
      <c r="A835" s="151">
        <v>9102</v>
      </c>
      <c r="B835" s="487" t="s">
        <v>2262</v>
      </c>
      <c r="C835" s="487"/>
      <c r="D835" s="487"/>
      <c r="E835" s="487"/>
      <c r="F835" s="487"/>
      <c r="G835" s="487"/>
      <c r="H835" s="488"/>
    </row>
    <row r="836" spans="1:8" x14ac:dyDescent="0.2">
      <c r="A836" s="151">
        <v>9103</v>
      </c>
      <c r="B836" s="487" t="s">
        <v>2263</v>
      </c>
      <c r="C836" s="487"/>
      <c r="D836" s="487"/>
      <c r="E836" s="487"/>
      <c r="F836" s="487"/>
      <c r="G836" s="487"/>
      <c r="H836" s="488"/>
    </row>
    <row r="837" spans="1:8" x14ac:dyDescent="0.2">
      <c r="A837" s="151">
        <v>9104</v>
      </c>
      <c r="B837" s="487" t="s">
        <v>2264</v>
      </c>
      <c r="C837" s="487"/>
      <c r="D837" s="487"/>
      <c r="E837" s="487"/>
      <c r="F837" s="487"/>
      <c r="G837" s="487"/>
      <c r="H837" s="488"/>
    </row>
    <row r="838" spans="1:8" x14ac:dyDescent="0.2">
      <c r="A838" s="151">
        <v>9200</v>
      </c>
      <c r="B838" s="487" t="s">
        <v>2265</v>
      </c>
      <c r="C838" s="487"/>
      <c r="D838" s="487"/>
      <c r="E838" s="487"/>
      <c r="F838" s="487"/>
      <c r="G838" s="487"/>
      <c r="H838" s="488"/>
    </row>
    <row r="839" spans="1:8" x14ac:dyDescent="0.2">
      <c r="A839" s="151">
        <v>9311</v>
      </c>
      <c r="B839" s="487" t="s">
        <v>2266</v>
      </c>
      <c r="C839" s="487"/>
      <c r="D839" s="487"/>
      <c r="E839" s="487"/>
      <c r="F839" s="487"/>
      <c r="G839" s="487"/>
      <c r="H839" s="488"/>
    </row>
    <row r="840" spans="1:8" x14ac:dyDescent="0.2">
      <c r="A840" s="151">
        <v>9312</v>
      </c>
      <c r="B840" s="487" t="s">
        <v>4104</v>
      </c>
      <c r="C840" s="487"/>
      <c r="D840" s="487"/>
      <c r="E840" s="487"/>
      <c r="F840" s="487"/>
      <c r="G840" s="487"/>
      <c r="H840" s="488"/>
    </row>
    <row r="841" spans="1:8" x14ac:dyDescent="0.2">
      <c r="A841" s="151">
        <v>9313</v>
      </c>
      <c r="B841" s="487" t="s">
        <v>4105</v>
      </c>
      <c r="C841" s="487"/>
      <c r="D841" s="487"/>
      <c r="E841" s="487"/>
      <c r="F841" s="487"/>
      <c r="G841" s="487"/>
      <c r="H841" s="488"/>
    </row>
    <row r="842" spans="1:8" x14ac:dyDescent="0.2">
      <c r="A842" s="151">
        <v>9319</v>
      </c>
      <c r="B842" s="487" t="s">
        <v>2725</v>
      </c>
      <c r="C842" s="487"/>
      <c r="D842" s="487"/>
      <c r="E842" s="487"/>
      <c r="F842" s="487"/>
      <c r="G842" s="487"/>
      <c r="H842" s="488"/>
    </row>
    <row r="843" spans="1:8" x14ac:dyDescent="0.2">
      <c r="A843" s="151">
        <v>9321</v>
      </c>
      <c r="B843" s="487" t="s">
        <v>2726</v>
      </c>
      <c r="C843" s="487"/>
      <c r="D843" s="487"/>
      <c r="E843" s="487"/>
      <c r="F843" s="487"/>
      <c r="G843" s="487"/>
      <c r="H843" s="488"/>
    </row>
    <row r="844" spans="1:8" x14ac:dyDescent="0.2">
      <c r="A844" s="151">
        <v>9329</v>
      </c>
      <c r="B844" s="487" t="s">
        <v>2727</v>
      </c>
      <c r="C844" s="487"/>
      <c r="D844" s="487"/>
      <c r="E844" s="487"/>
      <c r="F844" s="487"/>
      <c r="G844" s="487"/>
      <c r="H844" s="488"/>
    </row>
    <row r="845" spans="1:8" x14ac:dyDescent="0.2">
      <c r="A845" s="151">
        <v>9411</v>
      </c>
      <c r="B845" s="487" t="s">
        <v>2728</v>
      </c>
      <c r="C845" s="487"/>
      <c r="D845" s="487"/>
      <c r="E845" s="487"/>
      <c r="F845" s="487"/>
      <c r="G845" s="487"/>
      <c r="H845" s="488"/>
    </row>
    <row r="846" spans="1:8" x14ac:dyDescent="0.2">
      <c r="A846" s="151">
        <v>9412</v>
      </c>
      <c r="B846" s="487" t="s">
        <v>2729</v>
      </c>
      <c r="C846" s="487"/>
      <c r="D846" s="487"/>
      <c r="E846" s="487"/>
      <c r="F846" s="487"/>
      <c r="G846" s="487"/>
      <c r="H846" s="488"/>
    </row>
    <row r="847" spans="1:8" x14ac:dyDescent="0.2">
      <c r="A847" s="151">
        <v>9420</v>
      </c>
      <c r="B847" s="487" t="s">
        <v>2730</v>
      </c>
      <c r="C847" s="487"/>
      <c r="D847" s="487"/>
      <c r="E847" s="487"/>
      <c r="F847" s="487"/>
      <c r="G847" s="487"/>
      <c r="H847" s="488"/>
    </row>
    <row r="848" spans="1:8" x14ac:dyDescent="0.2">
      <c r="A848" s="151">
        <v>9491</v>
      </c>
      <c r="B848" s="487" t="s">
        <v>2731</v>
      </c>
      <c r="C848" s="487"/>
      <c r="D848" s="487"/>
      <c r="E848" s="487"/>
      <c r="F848" s="487"/>
      <c r="G848" s="487"/>
      <c r="H848" s="488"/>
    </row>
    <row r="849" spans="1:8" x14ac:dyDescent="0.2">
      <c r="A849" s="151">
        <v>9492</v>
      </c>
      <c r="B849" s="487" t="s">
        <v>2732</v>
      </c>
      <c r="C849" s="487"/>
      <c r="D849" s="487"/>
      <c r="E849" s="487"/>
      <c r="F849" s="487"/>
      <c r="G849" s="487"/>
      <c r="H849" s="488"/>
    </row>
    <row r="850" spans="1:8" x14ac:dyDescent="0.2">
      <c r="A850" s="151">
        <v>9499</v>
      </c>
      <c r="B850" s="487" t="s">
        <v>2733</v>
      </c>
      <c r="C850" s="487"/>
      <c r="D850" s="487"/>
      <c r="E850" s="487"/>
      <c r="F850" s="487"/>
      <c r="G850" s="487"/>
      <c r="H850" s="488"/>
    </row>
    <row r="851" spans="1:8" x14ac:dyDescent="0.2">
      <c r="A851" s="151">
        <v>9511</v>
      </c>
      <c r="B851" s="487" t="s">
        <v>2720</v>
      </c>
      <c r="C851" s="487"/>
      <c r="D851" s="487"/>
      <c r="E851" s="487"/>
      <c r="F851" s="487"/>
      <c r="G851" s="487"/>
      <c r="H851" s="488"/>
    </row>
    <row r="852" spans="1:8" x14ac:dyDescent="0.2">
      <c r="A852" s="151">
        <v>9512</v>
      </c>
      <c r="B852" s="487" t="s">
        <v>2721</v>
      </c>
      <c r="C852" s="487"/>
      <c r="D852" s="487"/>
      <c r="E852" s="487"/>
      <c r="F852" s="487"/>
      <c r="G852" s="487"/>
      <c r="H852" s="488"/>
    </row>
    <row r="853" spans="1:8" x14ac:dyDescent="0.2">
      <c r="A853" s="151">
        <v>9521</v>
      </c>
      <c r="B853" s="487" t="s">
        <v>2722</v>
      </c>
      <c r="C853" s="487"/>
      <c r="D853" s="487"/>
      <c r="E853" s="487"/>
      <c r="F853" s="487"/>
      <c r="G853" s="487"/>
      <c r="H853" s="488"/>
    </row>
    <row r="854" spans="1:8" x14ac:dyDescent="0.2">
      <c r="A854" s="151">
        <v>9522</v>
      </c>
      <c r="B854" s="487" t="s">
        <v>2723</v>
      </c>
      <c r="C854" s="487"/>
      <c r="D854" s="487"/>
      <c r="E854" s="487"/>
      <c r="F854" s="487"/>
      <c r="G854" s="487"/>
      <c r="H854" s="488"/>
    </row>
    <row r="855" spans="1:8" x14ac:dyDescent="0.2">
      <c r="A855" s="151">
        <v>9523</v>
      </c>
      <c r="B855" s="487" t="s">
        <v>2724</v>
      </c>
      <c r="C855" s="487"/>
      <c r="D855" s="487"/>
      <c r="E855" s="487"/>
      <c r="F855" s="487"/>
      <c r="G855" s="487"/>
      <c r="H855" s="488"/>
    </row>
    <row r="856" spans="1:8" x14ac:dyDescent="0.2">
      <c r="A856" s="151">
        <v>9524</v>
      </c>
      <c r="B856" s="487" t="s">
        <v>1467</v>
      </c>
      <c r="C856" s="487"/>
      <c r="D856" s="487"/>
      <c r="E856" s="487"/>
      <c r="F856" s="487"/>
      <c r="G856" s="487"/>
      <c r="H856" s="488"/>
    </row>
    <row r="857" spans="1:8" x14ac:dyDescent="0.2">
      <c r="A857" s="151">
        <v>9525</v>
      </c>
      <c r="B857" s="487" t="s">
        <v>1451</v>
      </c>
      <c r="C857" s="487"/>
      <c r="D857" s="487"/>
      <c r="E857" s="487"/>
      <c r="F857" s="487"/>
      <c r="G857" s="487"/>
      <c r="H857" s="488"/>
    </row>
    <row r="858" spans="1:8" x14ac:dyDescent="0.2">
      <c r="A858" s="151">
        <v>9529</v>
      </c>
      <c r="B858" s="487" t="s">
        <v>2334</v>
      </c>
      <c r="C858" s="487"/>
      <c r="D858" s="487"/>
      <c r="E858" s="487"/>
      <c r="F858" s="487"/>
      <c r="G858" s="487"/>
      <c r="H858" s="488"/>
    </row>
    <row r="859" spans="1:8" x14ac:dyDescent="0.2">
      <c r="A859" s="151">
        <v>9601</v>
      </c>
      <c r="B859" s="487" t="s">
        <v>500</v>
      </c>
      <c r="C859" s="487"/>
      <c r="D859" s="487"/>
      <c r="E859" s="487"/>
      <c r="F859" s="487"/>
      <c r="G859" s="487"/>
      <c r="H859" s="488"/>
    </row>
    <row r="860" spans="1:8" x14ac:dyDescent="0.2">
      <c r="A860" s="151">
        <v>9602</v>
      </c>
      <c r="B860" s="487" t="s">
        <v>3749</v>
      </c>
      <c r="C860" s="487"/>
      <c r="D860" s="487"/>
      <c r="E860" s="487"/>
      <c r="F860" s="487"/>
      <c r="G860" s="487"/>
      <c r="H860" s="488"/>
    </row>
    <row r="861" spans="1:8" x14ac:dyDescent="0.2">
      <c r="A861" s="151">
        <v>9603</v>
      </c>
      <c r="B861" s="487" t="s">
        <v>2371</v>
      </c>
      <c r="C861" s="487"/>
      <c r="D861" s="487"/>
      <c r="E861" s="487"/>
      <c r="F861" s="487"/>
      <c r="G861" s="487"/>
      <c r="H861" s="488"/>
    </row>
    <row r="862" spans="1:8" x14ac:dyDescent="0.2">
      <c r="A862" s="151">
        <v>9604</v>
      </c>
      <c r="B862" s="487" t="s">
        <v>2320</v>
      </c>
      <c r="C862" s="487"/>
      <c r="D862" s="487"/>
      <c r="E862" s="487"/>
      <c r="F862" s="487"/>
      <c r="G862" s="487"/>
      <c r="H862" s="488"/>
    </row>
    <row r="863" spans="1:8" x14ac:dyDescent="0.2">
      <c r="A863" s="151">
        <v>9609</v>
      </c>
      <c r="B863" s="487" t="s">
        <v>2321</v>
      </c>
      <c r="C863" s="487"/>
      <c r="D863" s="487"/>
      <c r="E863" s="487"/>
      <c r="F863" s="487"/>
      <c r="G863" s="487"/>
      <c r="H863" s="488"/>
    </row>
    <row r="864" spans="1:8" x14ac:dyDescent="0.2">
      <c r="A864" s="151">
        <v>9700</v>
      </c>
      <c r="B864" s="487" t="s">
        <v>4090</v>
      </c>
      <c r="C864" s="487"/>
      <c r="D864" s="487"/>
      <c r="E864" s="487"/>
      <c r="F864" s="487"/>
      <c r="G864" s="487"/>
      <c r="H864" s="488"/>
    </row>
    <row r="865" spans="1:8" x14ac:dyDescent="0.2">
      <c r="A865" s="151">
        <v>9810</v>
      </c>
      <c r="B865" s="487" t="s">
        <v>2322</v>
      </c>
      <c r="C865" s="487"/>
      <c r="D865" s="487"/>
      <c r="E865" s="487"/>
      <c r="F865" s="487"/>
      <c r="G865" s="487"/>
      <c r="H865" s="488"/>
    </row>
    <row r="866" spans="1:8" x14ac:dyDescent="0.2">
      <c r="A866" s="151">
        <v>9820</v>
      </c>
      <c r="B866" s="487" t="s">
        <v>4091</v>
      </c>
      <c r="C866" s="487"/>
      <c r="D866" s="487"/>
      <c r="E866" s="487"/>
      <c r="F866" s="487"/>
      <c r="G866" s="487"/>
      <c r="H866" s="488"/>
    </row>
    <row r="867" spans="1:8" x14ac:dyDescent="0.2">
      <c r="A867" s="152">
        <v>9900</v>
      </c>
      <c r="B867" s="489" t="s">
        <v>2323</v>
      </c>
      <c r="C867" s="489"/>
      <c r="D867" s="489"/>
      <c r="E867" s="489"/>
      <c r="F867" s="489"/>
      <c r="G867" s="489"/>
      <c r="H867" s="490"/>
    </row>
    <row r="868" spans="1:8" ht="5.0999999999999996" customHeight="1" x14ac:dyDescent="0.2"/>
  </sheetData>
  <sheetProtection password="C79A" sheet="1" objects="1" scenarios="1"/>
  <mergeCells count="635">
    <mergeCell ref="A1:H1"/>
    <mergeCell ref="A2:H2"/>
    <mergeCell ref="B3:H3"/>
    <mergeCell ref="B4:H4"/>
    <mergeCell ref="B9:H9"/>
    <mergeCell ref="B10:H10"/>
    <mergeCell ref="B11:H11"/>
    <mergeCell ref="A13:H13"/>
    <mergeCell ref="B5:H5"/>
    <mergeCell ref="B6:H6"/>
    <mergeCell ref="B7:H7"/>
    <mergeCell ref="B8:H8"/>
    <mergeCell ref="A251:B251"/>
    <mergeCell ref="C251:E251"/>
    <mergeCell ref="F251:H251"/>
    <mergeCell ref="B252:H252"/>
    <mergeCell ref="A202:B202"/>
    <mergeCell ref="C202:E202"/>
    <mergeCell ref="F202:H202"/>
    <mergeCell ref="B203:H203"/>
    <mergeCell ref="B257:H257"/>
    <mergeCell ref="B258:H258"/>
    <mergeCell ref="B259:H259"/>
    <mergeCell ref="B260:H260"/>
    <mergeCell ref="B253:H253"/>
    <mergeCell ref="B254:H254"/>
    <mergeCell ref="B255:H255"/>
    <mergeCell ref="B256:H256"/>
    <mergeCell ref="B265:H265"/>
    <mergeCell ref="B266:H266"/>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49:H849"/>
    <mergeCell ref="B850:H850"/>
    <mergeCell ref="B851:H851"/>
    <mergeCell ref="B852:H852"/>
    <mergeCell ref="B845:H845"/>
    <mergeCell ref="B846:H846"/>
    <mergeCell ref="B847:H847"/>
    <mergeCell ref="B848:H848"/>
    <mergeCell ref="B857:H857"/>
    <mergeCell ref="B858:H858"/>
    <mergeCell ref="B859:H859"/>
    <mergeCell ref="B860:H860"/>
    <mergeCell ref="B853:H853"/>
    <mergeCell ref="B854:H854"/>
    <mergeCell ref="B855:H855"/>
    <mergeCell ref="B856:H856"/>
    <mergeCell ref="B865:H865"/>
    <mergeCell ref="B866:H866"/>
    <mergeCell ref="B867:H867"/>
    <mergeCell ref="B861:H861"/>
    <mergeCell ref="B862:H862"/>
    <mergeCell ref="B863:H863"/>
    <mergeCell ref="B864:H864"/>
  </mergeCells>
  <phoneticPr fontId="61"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1"/>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53" customWidth="1"/>
    <col min="2" max="3" width="45.7109375" style="153" customWidth="1"/>
    <col min="4" max="4" width="0.85546875" style="153" customWidth="1"/>
    <col min="5" max="16384" width="0" style="153" hidden="1"/>
  </cols>
  <sheetData>
    <row r="1" spans="1:8" s="126" customFormat="1" ht="20.100000000000001" customHeight="1" x14ac:dyDescent="0.2">
      <c r="A1" s="514" t="s">
        <v>781</v>
      </c>
      <c r="B1" s="514"/>
      <c r="C1" s="514"/>
      <c r="D1" s="514"/>
      <c r="E1" s="514"/>
      <c r="F1" s="514"/>
      <c r="G1" s="514"/>
      <c r="H1" s="514"/>
    </row>
    <row r="2" spans="1:8" ht="33" customHeight="1" x14ac:dyDescent="0.2">
      <c r="A2" s="526" t="s">
        <v>3970</v>
      </c>
      <c r="B2" s="526"/>
      <c r="C2" s="526"/>
    </row>
    <row r="3" spans="1:8" ht="18.75" customHeight="1" x14ac:dyDescent="0.2">
      <c r="A3" s="48" t="s">
        <v>3971</v>
      </c>
      <c r="B3" s="527" t="s">
        <v>2445</v>
      </c>
      <c r="C3" s="527"/>
    </row>
    <row r="4" spans="1:8" ht="37.5" hidden="1" customHeight="1" x14ac:dyDescent="0.2">
      <c r="A4" s="49" t="s">
        <v>4099</v>
      </c>
      <c r="B4" s="528" t="s">
        <v>2446</v>
      </c>
      <c r="C4" s="529"/>
    </row>
    <row r="5" spans="1:8" ht="48" hidden="1" customHeight="1" x14ac:dyDescent="0.2">
      <c r="A5" s="49" t="s">
        <v>4099</v>
      </c>
      <c r="B5" s="524" t="s">
        <v>1483</v>
      </c>
      <c r="C5" s="524"/>
    </row>
    <row r="6" spans="1:8" ht="59.25" hidden="1" customHeight="1" x14ac:dyDescent="0.2">
      <c r="A6" s="49" t="s">
        <v>4099</v>
      </c>
      <c r="B6" s="524" t="s">
        <v>3476</v>
      </c>
      <c r="C6" s="524"/>
    </row>
    <row r="7" spans="1:8" ht="48" hidden="1" customHeight="1" x14ac:dyDescent="0.2">
      <c r="A7" s="49" t="s">
        <v>1416</v>
      </c>
      <c r="B7" s="524" t="s">
        <v>4088</v>
      </c>
      <c r="C7" s="524"/>
    </row>
    <row r="8" spans="1:8" ht="41.25" hidden="1" customHeight="1" x14ac:dyDescent="0.2">
      <c r="A8" s="49" t="s">
        <v>1417</v>
      </c>
      <c r="B8" s="524" t="s">
        <v>3222</v>
      </c>
      <c r="C8" s="524"/>
    </row>
    <row r="9" spans="1:8" ht="59.25" hidden="1" customHeight="1" x14ac:dyDescent="0.2">
      <c r="A9" s="49" t="s">
        <v>1418</v>
      </c>
      <c r="B9" s="524" t="s">
        <v>3316</v>
      </c>
      <c r="C9" s="524"/>
    </row>
    <row r="10" spans="1:8" ht="61.5" hidden="1" customHeight="1" x14ac:dyDescent="0.2">
      <c r="A10" s="49" t="s">
        <v>1418</v>
      </c>
      <c r="B10" s="524" t="s">
        <v>1611</v>
      </c>
      <c r="C10" s="524"/>
    </row>
    <row r="11" spans="1:8" ht="43.5" hidden="1" customHeight="1" x14ac:dyDescent="0.2">
      <c r="A11" s="49" t="s">
        <v>1418</v>
      </c>
      <c r="B11" s="524" t="s">
        <v>4244</v>
      </c>
      <c r="C11" s="524"/>
    </row>
    <row r="12" spans="1:8" ht="27.75" hidden="1" customHeight="1" x14ac:dyDescent="0.2">
      <c r="A12" s="49" t="s">
        <v>2370</v>
      </c>
      <c r="B12" s="524" t="s">
        <v>2890</v>
      </c>
      <c r="C12" s="524"/>
    </row>
    <row r="13" spans="1:8" ht="27.75" hidden="1" customHeight="1" x14ac:dyDescent="0.2">
      <c r="A13" s="49" t="s">
        <v>2746</v>
      </c>
      <c r="B13" s="524" t="s">
        <v>2745</v>
      </c>
      <c r="C13" s="524"/>
    </row>
    <row r="14" spans="1:8" ht="45.75" hidden="1" customHeight="1" x14ac:dyDescent="0.2">
      <c r="A14" s="49" t="s">
        <v>3358</v>
      </c>
      <c r="B14" s="524" t="s">
        <v>3773</v>
      </c>
      <c r="C14" s="524"/>
    </row>
    <row r="15" spans="1:8" ht="45.75" hidden="1" customHeight="1" x14ac:dyDescent="0.2">
      <c r="A15" s="49" t="s">
        <v>2738</v>
      </c>
      <c r="B15" s="524" t="s">
        <v>3925</v>
      </c>
      <c r="C15" s="524"/>
    </row>
    <row r="16" spans="1:8" ht="51" hidden="1" customHeight="1" x14ac:dyDescent="0.2">
      <c r="A16" s="49" t="s">
        <v>1716</v>
      </c>
      <c r="B16" s="524" t="s">
        <v>1715</v>
      </c>
      <c r="C16" s="524"/>
    </row>
    <row r="17" spans="1:3" ht="27.75" hidden="1" customHeight="1" x14ac:dyDescent="0.2">
      <c r="A17" s="49" t="s">
        <v>4245</v>
      </c>
      <c r="B17" s="524" t="s">
        <v>2983</v>
      </c>
      <c r="C17" s="524"/>
    </row>
    <row r="18" spans="1:3" ht="27.75" hidden="1" customHeight="1" x14ac:dyDescent="0.2">
      <c r="A18" s="49" t="s">
        <v>1744</v>
      </c>
      <c r="B18" s="524" t="s">
        <v>4095</v>
      </c>
      <c r="C18" s="524"/>
    </row>
    <row r="19" spans="1:3" ht="45" hidden="1" customHeight="1" x14ac:dyDescent="0.2">
      <c r="A19" s="49" t="s">
        <v>1744</v>
      </c>
      <c r="B19" s="524" t="s">
        <v>3557</v>
      </c>
      <c r="C19" s="524"/>
    </row>
    <row r="20" spans="1:3" ht="45" hidden="1" customHeight="1" x14ac:dyDescent="0.2">
      <c r="A20" s="49" t="s">
        <v>4035</v>
      </c>
      <c r="B20" s="524" t="s">
        <v>2474</v>
      </c>
      <c r="C20" s="524"/>
    </row>
    <row r="21" spans="1:3" ht="30" hidden="1" customHeight="1" x14ac:dyDescent="0.2">
      <c r="A21" s="49" t="s">
        <v>2427</v>
      </c>
      <c r="B21" s="524" t="s">
        <v>2428</v>
      </c>
      <c r="C21" s="524"/>
    </row>
    <row r="22" spans="1:3" ht="30" hidden="1" customHeight="1" x14ac:dyDescent="0.2">
      <c r="A22" s="49" t="s">
        <v>3834</v>
      </c>
      <c r="B22" s="524" t="s">
        <v>3833</v>
      </c>
      <c r="C22" s="524"/>
    </row>
    <row r="23" spans="1:3" ht="30" hidden="1" customHeight="1" x14ac:dyDescent="0.2">
      <c r="A23" s="49" t="s">
        <v>127</v>
      </c>
      <c r="B23" s="524" t="s">
        <v>3865</v>
      </c>
      <c r="C23" s="524"/>
    </row>
    <row r="24" spans="1:3" ht="30" hidden="1" customHeight="1" x14ac:dyDescent="0.2">
      <c r="A24" s="49" t="s">
        <v>2741</v>
      </c>
      <c r="B24" s="524" t="s">
        <v>3915</v>
      </c>
      <c r="C24" s="524"/>
    </row>
    <row r="25" spans="1:3" ht="30" hidden="1" customHeight="1" x14ac:dyDescent="0.2">
      <c r="A25" s="49" t="s">
        <v>3602</v>
      </c>
      <c r="B25" s="524" t="s">
        <v>3914</v>
      </c>
      <c r="C25" s="524"/>
    </row>
    <row r="26" spans="1:3" ht="30" hidden="1" customHeight="1" x14ac:dyDescent="0.2">
      <c r="A26" s="49" t="s">
        <v>3235</v>
      </c>
      <c r="B26" s="524" t="s">
        <v>3236</v>
      </c>
      <c r="C26" s="524"/>
    </row>
    <row r="27" spans="1:3" ht="70.5" hidden="1" customHeight="1" x14ac:dyDescent="0.2">
      <c r="A27" s="49" t="s">
        <v>4097</v>
      </c>
      <c r="B27" s="524" t="s">
        <v>780</v>
      </c>
      <c r="C27" s="524"/>
    </row>
    <row r="28" spans="1:3" ht="48" hidden="1" customHeight="1" x14ac:dyDescent="0.2">
      <c r="A28" s="49" t="s">
        <v>2077</v>
      </c>
      <c r="B28" s="524" t="s">
        <v>1554</v>
      </c>
      <c r="C28" s="524"/>
    </row>
    <row r="29" spans="1:3" ht="100.5" hidden="1" customHeight="1" x14ac:dyDescent="0.2">
      <c r="A29" s="49" t="s">
        <v>1553</v>
      </c>
      <c r="B29" s="524" t="s">
        <v>3873</v>
      </c>
      <c r="C29" s="524"/>
    </row>
    <row r="30" spans="1:3" ht="45" hidden="1" customHeight="1" x14ac:dyDescent="0.2">
      <c r="A30" s="49" t="s">
        <v>234</v>
      </c>
      <c r="B30" s="524" t="s">
        <v>233</v>
      </c>
      <c r="C30" s="524"/>
    </row>
    <row r="31" spans="1:3" ht="45" hidden="1" customHeight="1" x14ac:dyDescent="0.2">
      <c r="A31" s="49" t="s">
        <v>2075</v>
      </c>
      <c r="B31" s="524" t="s">
        <v>2074</v>
      </c>
      <c r="C31" s="524"/>
    </row>
    <row r="32" spans="1:3" ht="45" hidden="1" customHeight="1" x14ac:dyDescent="0.2">
      <c r="A32" s="49" t="s">
        <v>1692</v>
      </c>
      <c r="B32" s="524" t="s">
        <v>1278</v>
      </c>
      <c r="C32" s="524"/>
    </row>
    <row r="33" spans="1:3" ht="72" hidden="1" customHeight="1" x14ac:dyDescent="0.2">
      <c r="A33" s="49" t="s">
        <v>3907</v>
      </c>
      <c r="B33" s="524" t="s">
        <v>2073</v>
      </c>
      <c r="C33" s="524"/>
    </row>
    <row r="34" spans="1:3" ht="79.5" hidden="1" customHeight="1" x14ac:dyDescent="0.2">
      <c r="A34" s="49" t="s">
        <v>3853</v>
      </c>
      <c r="B34" s="524" t="s">
        <v>638</v>
      </c>
      <c r="C34" s="524"/>
    </row>
    <row r="35" spans="1:3" ht="70.5" hidden="1" customHeight="1" x14ac:dyDescent="0.2">
      <c r="A35" s="49" t="s">
        <v>1115</v>
      </c>
      <c r="B35" s="524" t="s">
        <v>3817</v>
      </c>
      <c r="C35" s="524"/>
    </row>
    <row r="36" spans="1:3" ht="45.75" hidden="1" customHeight="1" x14ac:dyDescent="0.2">
      <c r="A36" s="49" t="s">
        <v>4040</v>
      </c>
      <c r="B36" s="524" t="s">
        <v>2755</v>
      </c>
      <c r="C36" s="524"/>
    </row>
    <row r="37" spans="1:3" ht="54.95" hidden="1" customHeight="1" x14ac:dyDescent="0.2">
      <c r="A37" s="49" t="s">
        <v>3832</v>
      </c>
      <c r="B37" s="524" t="s">
        <v>1329</v>
      </c>
      <c r="C37" s="524"/>
    </row>
    <row r="38" spans="1:3" ht="37.5" hidden="1" customHeight="1" x14ac:dyDescent="0.2">
      <c r="A38" s="49" t="s">
        <v>2562</v>
      </c>
      <c r="B38" s="524" t="s">
        <v>3313</v>
      </c>
      <c r="C38" s="524"/>
    </row>
    <row r="39" spans="1:3" ht="61.5" hidden="1" customHeight="1" x14ac:dyDescent="0.2">
      <c r="A39" s="49" t="s">
        <v>217</v>
      </c>
      <c r="B39" s="524" t="s">
        <v>1166</v>
      </c>
      <c r="C39" s="524"/>
    </row>
    <row r="40" spans="1:3" ht="53.25" hidden="1" customHeight="1" x14ac:dyDescent="0.2">
      <c r="A40" s="49" t="s">
        <v>1356</v>
      </c>
      <c r="B40" s="524" t="s">
        <v>1596</v>
      </c>
      <c r="C40" s="524"/>
    </row>
    <row r="41" spans="1:3" ht="73.5" hidden="1" customHeight="1" x14ac:dyDescent="0.2">
      <c r="A41" s="49" t="s">
        <v>3093</v>
      </c>
      <c r="B41" s="524" t="s">
        <v>2098</v>
      </c>
      <c r="C41" s="524"/>
    </row>
    <row r="42" spans="1:3" ht="57.95" hidden="1" customHeight="1" x14ac:dyDescent="0.2">
      <c r="A42" s="49" t="s">
        <v>1395</v>
      </c>
      <c r="B42" s="524" t="s">
        <v>2786</v>
      </c>
      <c r="C42" s="524"/>
    </row>
    <row r="43" spans="1:3" ht="84" hidden="1" customHeight="1" x14ac:dyDescent="0.2">
      <c r="A43" s="49" t="s">
        <v>1813</v>
      </c>
      <c r="B43" s="524" t="s">
        <v>2559</v>
      </c>
      <c r="C43" s="524"/>
    </row>
    <row r="44" spans="1:3" ht="48" hidden="1" customHeight="1" x14ac:dyDescent="0.2">
      <c r="A44" s="49" t="s">
        <v>2925</v>
      </c>
      <c r="B44" s="524" t="s">
        <v>3426</v>
      </c>
      <c r="C44" s="524"/>
    </row>
    <row r="45" spans="1:3" ht="57" customHeight="1" x14ac:dyDescent="0.2">
      <c r="A45" s="355" t="s">
        <v>3097</v>
      </c>
      <c r="B45" s="525" t="s">
        <v>137</v>
      </c>
      <c r="C45" s="525"/>
    </row>
    <row r="46" spans="1:3" ht="57" customHeight="1" x14ac:dyDescent="0.2">
      <c r="A46" s="355" t="s">
        <v>2165</v>
      </c>
      <c r="B46" s="525" t="s">
        <v>402</v>
      </c>
      <c r="C46" s="525"/>
    </row>
    <row r="47" spans="1:3" ht="84" customHeight="1" x14ac:dyDescent="0.2">
      <c r="A47" s="355" t="s">
        <v>422</v>
      </c>
      <c r="B47" s="525" t="s">
        <v>3837</v>
      </c>
      <c r="C47" s="525"/>
    </row>
    <row r="48" spans="1:3" ht="33" customHeight="1" x14ac:dyDescent="0.2">
      <c r="A48" s="355" t="s">
        <v>1000</v>
      </c>
      <c r="B48" s="525" t="s">
        <v>999</v>
      </c>
      <c r="C48" s="525"/>
    </row>
    <row r="49" spans="1:3" ht="40.5" customHeight="1" x14ac:dyDescent="0.2">
      <c r="A49" s="49" t="s">
        <v>374</v>
      </c>
      <c r="B49" s="524" t="s">
        <v>373</v>
      </c>
      <c r="C49" s="524"/>
    </row>
    <row r="50" spans="1:3" ht="40.5" customHeight="1" x14ac:dyDescent="0.2">
      <c r="A50" s="49" t="s">
        <v>3626</v>
      </c>
      <c r="B50" s="524" t="s">
        <v>3627</v>
      </c>
      <c r="C50" s="524"/>
    </row>
    <row r="51" spans="1:3" ht="5.0999999999999996" customHeight="1" x14ac:dyDescent="0.2"/>
  </sheetData>
  <sheetProtection password="C79A" sheet="1" objects="1" scenarios="1"/>
  <mergeCells count="50">
    <mergeCell ref="A1:H1"/>
    <mergeCell ref="B5:C5"/>
    <mergeCell ref="B14:C14"/>
    <mergeCell ref="B19:C19"/>
    <mergeCell ref="B16:C16"/>
    <mergeCell ref="B11:C11"/>
    <mergeCell ref="B25:C25"/>
    <mergeCell ref="B28:C28"/>
    <mergeCell ref="B27:C27"/>
    <mergeCell ref="B26:C26"/>
    <mergeCell ref="B6:C6"/>
    <mergeCell ref="B10:C10"/>
    <mergeCell ref="B7:C7"/>
    <mergeCell ref="A2:C2"/>
    <mergeCell ref="B3:C3"/>
    <mergeCell ref="B4:C4"/>
    <mergeCell ref="B9:C9"/>
    <mergeCell ref="B8:C8"/>
    <mergeCell ref="B29:C29"/>
    <mergeCell ref="B15:C15"/>
    <mergeCell ref="B18:C18"/>
    <mergeCell ref="B13:C13"/>
    <mergeCell ref="B12:C12"/>
    <mergeCell ref="B20:C20"/>
    <mergeCell ref="B17:C17"/>
    <mergeCell ref="B39:C39"/>
    <mergeCell ref="B30:C30"/>
    <mergeCell ref="B38:C38"/>
    <mergeCell ref="B21:C21"/>
    <mergeCell ref="B22:C22"/>
    <mergeCell ref="B24:C24"/>
    <mergeCell ref="B32:C32"/>
    <mergeCell ref="B36:C36"/>
    <mergeCell ref="B45:C45"/>
    <mergeCell ref="B31:C31"/>
    <mergeCell ref="B35:C35"/>
    <mergeCell ref="B37:C37"/>
    <mergeCell ref="B34:C34"/>
    <mergeCell ref="B23:C23"/>
    <mergeCell ref="B33:C33"/>
    <mergeCell ref="B50:C50"/>
    <mergeCell ref="B41:C41"/>
    <mergeCell ref="B49:C49"/>
    <mergeCell ref="B40:C40"/>
    <mergeCell ref="B48:C48"/>
    <mergeCell ref="B47:C47"/>
    <mergeCell ref="B46:C46"/>
    <mergeCell ref="B42:C42"/>
    <mergeCell ref="B43:C43"/>
    <mergeCell ref="B44:C44"/>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2021-03-31T06:51:08Z</cp:lastPrinted>
  <dcterms:created xsi:type="dcterms:W3CDTF">2001-11-21T09:32:18Z</dcterms:created>
  <dcterms:modified xsi:type="dcterms:W3CDTF">2021-10-11T08:12:53Z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