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prijedlog 15.11.21.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9" i="1" l="1"/>
  <c r="H868" i="1" s="1"/>
  <c r="H865" i="1" s="1"/>
  <c r="H863" i="1" s="1"/>
  <c r="G869" i="1"/>
  <c r="G868" i="1" s="1"/>
  <c r="F869" i="1"/>
  <c r="F868" i="1" s="1"/>
  <c r="F862" i="1" s="1"/>
  <c r="J865" i="1"/>
  <c r="I865" i="1"/>
  <c r="J862" i="1"/>
  <c r="I862" i="1"/>
  <c r="H859" i="1"/>
  <c r="H858" i="1" s="1"/>
  <c r="H855" i="1" s="1"/>
  <c r="G859" i="1"/>
  <c r="F859" i="1"/>
  <c r="J858" i="1"/>
  <c r="J855" i="1" s="1"/>
  <c r="I858" i="1"/>
  <c r="I855" i="1" s="1"/>
  <c r="G858" i="1"/>
  <c r="F858" i="1"/>
  <c r="F855" i="1" s="1"/>
  <c r="G855" i="1"/>
  <c r="G849" i="1"/>
  <c r="H848" i="1"/>
  <c r="H847" i="1" s="1"/>
  <c r="H844" i="1" s="1"/>
  <c r="H842" i="1" s="1"/>
  <c r="G848" i="1"/>
  <c r="G847" i="1" s="1"/>
  <c r="F848" i="1"/>
  <c r="F847" i="1" s="1"/>
  <c r="F844" i="1" s="1"/>
  <c r="F842" i="1" s="1"/>
  <c r="J844" i="1"/>
  <c r="I844" i="1"/>
  <c r="G844" i="1"/>
  <c r="H839" i="1"/>
  <c r="G839" i="1"/>
  <c r="F839" i="1"/>
  <c r="H837" i="1"/>
  <c r="G837" i="1"/>
  <c r="J835" i="1"/>
  <c r="J832" i="1" s="1"/>
  <c r="I835" i="1"/>
  <c r="I832" i="1" s="1"/>
  <c r="H835" i="1"/>
  <c r="G835" i="1"/>
  <c r="G832" i="1" s="1"/>
  <c r="F835" i="1"/>
  <c r="F832" i="1" s="1"/>
  <c r="H832" i="1"/>
  <c r="H827" i="1"/>
  <c r="H826" i="1" s="1"/>
  <c r="G827" i="1"/>
  <c r="G826" i="1" s="1"/>
  <c r="F827" i="1"/>
  <c r="F826" i="1" s="1"/>
  <c r="K824" i="1"/>
  <c r="H823" i="1"/>
  <c r="G823" i="1"/>
  <c r="F823" i="1"/>
  <c r="H821" i="1"/>
  <c r="G821" i="1"/>
  <c r="F821" i="1"/>
  <c r="K819" i="1"/>
  <c r="G819" i="1"/>
  <c r="G818" i="1" s="1"/>
  <c r="G817" i="1" s="1"/>
  <c r="G816" i="1" s="1"/>
  <c r="G812" i="1" s="1"/>
  <c r="H818" i="1"/>
  <c r="F818" i="1"/>
  <c r="F817" i="1" s="1"/>
  <c r="F816" i="1" s="1"/>
  <c r="F812" i="1" s="1"/>
  <c r="J817" i="1"/>
  <c r="J816" i="1" s="1"/>
  <c r="J812" i="1" s="1"/>
  <c r="I817" i="1"/>
  <c r="I816" i="1" s="1"/>
  <c r="I812" i="1" s="1"/>
  <c r="H808" i="1"/>
  <c r="H807" i="1" s="1"/>
  <c r="H804" i="1" s="1"/>
  <c r="G808" i="1"/>
  <c r="G807" i="1" s="1"/>
  <c r="F808" i="1"/>
  <c r="F807" i="1" s="1"/>
  <c r="F804" i="1" s="1"/>
  <c r="J804" i="1"/>
  <c r="I804" i="1"/>
  <c r="G804" i="1"/>
  <c r="H801" i="1"/>
  <c r="G801" i="1"/>
  <c r="F801" i="1"/>
  <c r="H800" i="1"/>
  <c r="G800" i="1"/>
  <c r="F800" i="1"/>
  <c r="H786" i="1"/>
  <c r="G786" i="1"/>
  <c r="F786" i="1"/>
  <c r="J784" i="1"/>
  <c r="I784" i="1"/>
  <c r="J780" i="1"/>
  <c r="I780" i="1"/>
  <c r="J777" i="1"/>
  <c r="H773" i="1"/>
  <c r="G773" i="1"/>
  <c r="G772" i="1" s="1"/>
  <c r="G770" i="1" s="1"/>
  <c r="F773" i="1"/>
  <c r="F772" i="1" s="1"/>
  <c r="F770" i="1" s="1"/>
  <c r="J772" i="1"/>
  <c r="J770" i="1" s="1"/>
  <c r="I772" i="1"/>
  <c r="H772" i="1"/>
  <c r="I770" i="1"/>
  <c r="H770" i="1"/>
  <c r="H765" i="1"/>
  <c r="G765" i="1"/>
  <c r="G764" i="1" s="1"/>
  <c r="F765" i="1"/>
  <c r="J764" i="1"/>
  <c r="I764" i="1"/>
  <c r="I758" i="1" s="1"/>
  <c r="H764" i="1"/>
  <c r="F764" i="1"/>
  <c r="F761" i="1" s="1"/>
  <c r="J761" i="1"/>
  <c r="I761" i="1"/>
  <c r="J758" i="1"/>
  <c r="F758" i="1"/>
  <c r="H754" i="1"/>
  <c r="H753" i="1" s="1"/>
  <c r="G754" i="1"/>
  <c r="F754" i="1"/>
  <c r="F746" i="1" s="1"/>
  <c r="J753" i="1"/>
  <c r="I753" i="1"/>
  <c r="J750" i="1"/>
  <c r="I750" i="1"/>
  <c r="G750" i="1"/>
  <c r="F750" i="1"/>
  <c r="J746" i="1"/>
  <c r="I746" i="1"/>
  <c r="G746" i="1"/>
  <c r="H743" i="1"/>
  <c r="H742" i="1" s="1"/>
  <c r="H739" i="1" s="1"/>
  <c r="H737" i="1" s="1"/>
  <c r="G743" i="1"/>
  <c r="F743" i="1"/>
  <c r="F742" i="1" s="1"/>
  <c r="F739" i="1" s="1"/>
  <c r="F737" i="1" s="1"/>
  <c r="F736" i="1" s="1"/>
  <c r="J742" i="1"/>
  <c r="I742" i="1"/>
  <c r="I739" i="1" s="1"/>
  <c r="I737" i="1" s="1"/>
  <c r="I736" i="1" s="1"/>
  <c r="G742" i="1"/>
  <c r="G739" i="1" s="1"/>
  <c r="G737" i="1" s="1"/>
  <c r="J739" i="1"/>
  <c r="J737" i="1" s="1"/>
  <c r="H732" i="1"/>
  <c r="G732" i="1"/>
  <c r="F732" i="1"/>
  <c r="H731" i="1"/>
  <c r="H725" i="1" s="1"/>
  <c r="G731" i="1"/>
  <c r="F731" i="1"/>
  <c r="J725" i="1"/>
  <c r="I725" i="1"/>
  <c r="G725" i="1"/>
  <c r="F725" i="1"/>
  <c r="H718" i="1"/>
  <c r="G718" i="1"/>
  <c r="F718" i="1"/>
  <c r="H716" i="1"/>
  <c r="G716" i="1"/>
  <c r="F716" i="1"/>
  <c r="H715" i="1"/>
  <c r="G715" i="1"/>
  <c r="F715" i="1"/>
  <c r="F714" i="1" s="1"/>
  <c r="J714" i="1"/>
  <c r="J710" i="1" s="1"/>
  <c r="I714" i="1"/>
  <c r="G714" i="1"/>
  <c r="G707" i="1" s="1"/>
  <c r="I710" i="1"/>
  <c r="J708" i="1"/>
  <c r="I708" i="1"/>
  <c r="J707" i="1"/>
  <c r="H704" i="1"/>
  <c r="G704" i="1"/>
  <c r="G701" i="1" s="1"/>
  <c r="G699" i="1" s="1"/>
  <c r="F704" i="1"/>
  <c r="J701" i="1"/>
  <c r="J699" i="1" s="1"/>
  <c r="I701" i="1"/>
  <c r="H701" i="1"/>
  <c r="H699" i="1" s="1"/>
  <c r="F701" i="1"/>
  <c r="F699" i="1" s="1"/>
  <c r="I699" i="1"/>
  <c r="H696" i="1"/>
  <c r="H695" i="1" s="1"/>
  <c r="G696" i="1"/>
  <c r="F696" i="1"/>
  <c r="F695" i="1" s="1"/>
  <c r="F692" i="1" s="1"/>
  <c r="F690" i="1" s="1"/>
  <c r="G695" i="1"/>
  <c r="G692" i="1" s="1"/>
  <c r="G690" i="1" s="1"/>
  <c r="J692" i="1"/>
  <c r="J690" i="1" s="1"/>
  <c r="I692" i="1"/>
  <c r="H692" i="1"/>
  <c r="H690" i="1" s="1"/>
  <c r="I690" i="1"/>
  <c r="H686" i="1"/>
  <c r="H685" i="1" s="1"/>
  <c r="G686" i="1"/>
  <c r="F686" i="1"/>
  <c r="F685" i="1" s="1"/>
  <c r="F682" i="1" s="1"/>
  <c r="F680" i="1" s="1"/>
  <c r="G685" i="1"/>
  <c r="G682" i="1" s="1"/>
  <c r="G680" i="1" s="1"/>
  <c r="J682" i="1"/>
  <c r="J680" i="1" s="1"/>
  <c r="I682" i="1"/>
  <c r="H682" i="1"/>
  <c r="H680" i="1" s="1"/>
  <c r="I680" i="1"/>
  <c r="H677" i="1"/>
  <c r="H676" i="1" s="1"/>
  <c r="H675" i="1" s="1"/>
  <c r="H674" i="1" s="1"/>
  <c r="G677" i="1"/>
  <c r="G676" i="1" s="1"/>
  <c r="G675" i="1" s="1"/>
  <c r="G674" i="1" s="1"/>
  <c r="F676" i="1"/>
  <c r="F675" i="1" s="1"/>
  <c r="F674" i="1" s="1"/>
  <c r="J674" i="1"/>
  <c r="J622" i="1" s="1"/>
  <c r="J620" i="1" s="1"/>
  <c r="J619" i="1" s="1"/>
  <c r="I674" i="1"/>
  <c r="G672" i="1"/>
  <c r="H671" i="1"/>
  <c r="H670" i="1" s="1"/>
  <c r="H669" i="1" s="1"/>
  <c r="G670" i="1"/>
  <c r="G669" i="1" s="1"/>
  <c r="F670" i="1"/>
  <c r="F669" i="1" s="1"/>
  <c r="H664" i="1"/>
  <c r="G664" i="1"/>
  <c r="F664" i="1"/>
  <c r="G661" i="1"/>
  <c r="H653" i="1"/>
  <c r="G650" i="1"/>
  <c r="H649" i="1"/>
  <c r="G649" i="1"/>
  <c r="F649" i="1"/>
  <c r="G645" i="1"/>
  <c r="G642" i="1"/>
  <c r="H640" i="1"/>
  <c r="H639" i="1" s="1"/>
  <c r="G639" i="1"/>
  <c r="F639" i="1"/>
  <c r="H636" i="1"/>
  <c r="H635" i="1" s="1"/>
  <c r="H634" i="1" s="1"/>
  <c r="G636" i="1"/>
  <c r="G635" i="1"/>
  <c r="F635" i="1"/>
  <c r="H633" i="1"/>
  <c r="H632" i="1" s="1"/>
  <c r="G632" i="1"/>
  <c r="F632" i="1"/>
  <c r="H631" i="1"/>
  <c r="H630" i="1" s="1"/>
  <c r="G630" i="1"/>
  <c r="F630" i="1"/>
  <c r="H628" i="1"/>
  <c r="G628" i="1"/>
  <c r="F628" i="1"/>
  <c r="F627" i="1" s="1"/>
  <c r="L623" i="1"/>
  <c r="I622" i="1"/>
  <c r="I620" i="1" s="1"/>
  <c r="H616" i="1"/>
  <c r="F616" i="1"/>
  <c r="J614" i="1"/>
  <c r="G614" i="1"/>
  <c r="F614" i="1"/>
  <c r="J609" i="1"/>
  <c r="I609" i="1"/>
  <c r="I602" i="1" s="1"/>
  <c r="H607" i="1"/>
  <c r="G607" i="1"/>
  <c r="G606" i="1" s="1"/>
  <c r="G602" i="1" s="1"/>
  <c r="F607" i="1"/>
  <c r="H606" i="1"/>
  <c r="H602" i="1" s="1"/>
  <c r="F606" i="1"/>
  <c r="H598" i="1"/>
  <c r="H597" i="1" s="1"/>
  <c r="H594" i="1" s="1"/>
  <c r="H592" i="1" s="1"/>
  <c r="G598" i="1"/>
  <c r="F598" i="1"/>
  <c r="F597" i="1" s="1"/>
  <c r="F594" i="1" s="1"/>
  <c r="G597" i="1"/>
  <c r="G594" i="1" s="1"/>
  <c r="J594" i="1"/>
  <c r="I594" i="1"/>
  <c r="H589" i="1"/>
  <c r="H588" i="1" s="1"/>
  <c r="H585" i="1" s="1"/>
  <c r="G589" i="1"/>
  <c r="F589" i="1"/>
  <c r="F588" i="1" s="1"/>
  <c r="F585" i="1" s="1"/>
  <c r="J588" i="1"/>
  <c r="I588" i="1"/>
  <c r="I585" i="1" s="1"/>
  <c r="G588" i="1"/>
  <c r="G585" i="1" s="1"/>
  <c r="J585" i="1"/>
  <c r="H582" i="1"/>
  <c r="G582" i="1"/>
  <c r="G581" i="1" s="1"/>
  <c r="G576" i="1" s="1"/>
  <c r="G574" i="1" s="1"/>
  <c r="F582" i="1"/>
  <c r="H581" i="1"/>
  <c r="H576" i="1" s="1"/>
  <c r="F581" i="1"/>
  <c r="F576" i="1" s="1"/>
  <c r="J576" i="1"/>
  <c r="I576" i="1"/>
  <c r="J574" i="1"/>
  <c r="G572" i="1"/>
  <c r="H567" i="1"/>
  <c r="G567" i="1"/>
  <c r="F567" i="1"/>
  <c r="H566" i="1"/>
  <c r="G566" i="1"/>
  <c r="G563" i="1" s="1"/>
  <c r="G561" i="1" s="1"/>
  <c r="F566" i="1"/>
  <c r="J563" i="1"/>
  <c r="J561" i="1" s="1"/>
  <c r="I563" i="1"/>
  <c r="H563" i="1"/>
  <c r="H561" i="1" s="1"/>
  <c r="F563" i="1"/>
  <c r="F561" i="1" s="1"/>
  <c r="I561" i="1"/>
  <c r="F558" i="1"/>
  <c r="F557" i="1" s="1"/>
  <c r="H553" i="1"/>
  <c r="G553" i="1"/>
  <c r="F553" i="1"/>
  <c r="J551" i="1"/>
  <c r="J548" i="1" s="1"/>
  <c r="I551" i="1"/>
  <c r="I548" i="1" s="1"/>
  <c r="H551" i="1"/>
  <c r="G551" i="1"/>
  <c r="F551" i="1"/>
  <c r="G548" i="1"/>
  <c r="H546" i="1"/>
  <c r="G545" i="1"/>
  <c r="F545" i="1"/>
  <c r="F544" i="1" s="1"/>
  <c r="G544" i="1"/>
  <c r="G539" i="1"/>
  <c r="H538" i="1"/>
  <c r="H537" i="1" s="1"/>
  <c r="H532" i="1" s="1"/>
  <c r="G538" i="1"/>
  <c r="G537" i="1" s="1"/>
  <c r="F538" i="1"/>
  <c r="F537" i="1" s="1"/>
  <c r="J537" i="1"/>
  <c r="J532" i="1" s="1"/>
  <c r="I537" i="1"/>
  <c r="I532" i="1" s="1"/>
  <c r="H529" i="1"/>
  <c r="H528" i="1" s="1"/>
  <c r="G529" i="1"/>
  <c r="F529" i="1"/>
  <c r="F528" i="1" s="1"/>
  <c r="G528" i="1"/>
  <c r="H525" i="1"/>
  <c r="H524" i="1" s="1"/>
  <c r="H521" i="1" s="1"/>
  <c r="G525" i="1"/>
  <c r="F525" i="1"/>
  <c r="F524" i="1" s="1"/>
  <c r="G524" i="1"/>
  <c r="G521" i="1" s="1"/>
  <c r="J521" i="1"/>
  <c r="I521" i="1"/>
  <c r="F521" i="1"/>
  <c r="H515" i="1"/>
  <c r="H514" i="1" s="1"/>
  <c r="H511" i="1" s="1"/>
  <c r="H507" i="1" s="1"/>
  <c r="G515" i="1"/>
  <c r="F515" i="1"/>
  <c r="F514" i="1" s="1"/>
  <c r="G514" i="1"/>
  <c r="G511" i="1" s="1"/>
  <c r="G507" i="1" s="1"/>
  <c r="J511" i="1"/>
  <c r="J507" i="1" s="1"/>
  <c r="I511" i="1"/>
  <c r="F511" i="1"/>
  <c r="F507" i="1" s="1"/>
  <c r="I507" i="1"/>
  <c r="H504" i="1"/>
  <c r="G504" i="1"/>
  <c r="F504" i="1"/>
  <c r="I503" i="1"/>
  <c r="I500" i="1" s="1"/>
  <c r="H503" i="1"/>
  <c r="H500" i="1" s="1"/>
  <c r="G503" i="1"/>
  <c r="G500" i="1" s="1"/>
  <c r="F503" i="1"/>
  <c r="F500" i="1" s="1"/>
  <c r="J500" i="1"/>
  <c r="G495" i="1"/>
  <c r="H494" i="1"/>
  <c r="G494" i="1"/>
  <c r="G493" i="1" s="1"/>
  <c r="G489" i="1" s="1"/>
  <c r="F494" i="1"/>
  <c r="J493" i="1"/>
  <c r="J489" i="1" s="1"/>
  <c r="I493" i="1"/>
  <c r="H493" i="1"/>
  <c r="H489" i="1" s="1"/>
  <c r="F493" i="1"/>
  <c r="F489" i="1" s="1"/>
  <c r="I489" i="1"/>
  <c r="H485" i="1"/>
  <c r="H484" i="1" s="1"/>
  <c r="H479" i="1"/>
  <c r="H478" i="1" s="1"/>
  <c r="H476" i="1" s="1"/>
  <c r="H473" i="1"/>
  <c r="H472" i="1"/>
  <c r="H470" i="1" s="1"/>
  <c r="H467" i="1"/>
  <c r="H466" i="1" s="1"/>
  <c r="H464" i="1" s="1"/>
  <c r="H461" i="1"/>
  <c r="H458" i="1"/>
  <c r="H454" i="1"/>
  <c r="H453" i="1" s="1"/>
  <c r="H447" i="1" s="1"/>
  <c r="G454" i="1"/>
  <c r="G453" i="1" s="1"/>
  <c r="G447" i="1" s="1"/>
  <c r="F454" i="1"/>
  <c r="F453" i="1" s="1"/>
  <c r="F447" i="1" s="1"/>
  <c r="F445" i="1" s="1"/>
  <c r="J447" i="1"/>
  <c r="I447" i="1"/>
  <c r="J442" i="1"/>
  <c r="I442" i="1"/>
  <c r="H442" i="1"/>
  <c r="G442" i="1"/>
  <c r="F442" i="1"/>
  <c r="H440" i="1"/>
  <c r="G440" i="1"/>
  <c r="F440" i="1"/>
  <c r="J435" i="1"/>
  <c r="I435" i="1"/>
  <c r="H432" i="1"/>
  <c r="H429" i="1" s="1"/>
  <c r="G432" i="1"/>
  <c r="F432" i="1"/>
  <c r="F429" i="1" s="1"/>
  <c r="J429" i="1"/>
  <c r="I429" i="1"/>
  <c r="G429" i="1"/>
  <c r="H426" i="1"/>
  <c r="H425" i="1" s="1"/>
  <c r="H423" i="1" s="1"/>
  <c r="G425" i="1"/>
  <c r="F425" i="1"/>
  <c r="F423" i="1" s="1"/>
  <c r="J423" i="1"/>
  <c r="I423" i="1"/>
  <c r="G423" i="1"/>
  <c r="G421" i="1"/>
  <c r="G418" i="1"/>
  <c r="J417" i="1"/>
  <c r="I417" i="1"/>
  <c r="H417" i="1"/>
  <c r="F417" i="1"/>
  <c r="G415" i="1"/>
  <c r="G414" i="1"/>
  <c r="H412" i="1"/>
  <c r="H411" i="1" s="1"/>
  <c r="H407" i="1" s="1"/>
  <c r="F412" i="1"/>
  <c r="J407" i="1"/>
  <c r="I407" i="1"/>
  <c r="H399" i="1"/>
  <c r="H398" i="1" s="1"/>
  <c r="H397" i="1" s="1"/>
  <c r="H394" i="1" s="1"/>
  <c r="H392" i="1" s="1"/>
  <c r="G399" i="1"/>
  <c r="G398" i="1" s="1"/>
  <c r="G397" i="1" s="1"/>
  <c r="G394" i="1" s="1"/>
  <c r="G392" i="1" s="1"/>
  <c r="F399" i="1"/>
  <c r="F398" i="1" s="1"/>
  <c r="F397" i="1" s="1"/>
  <c r="F394" i="1" s="1"/>
  <c r="F392" i="1" s="1"/>
  <c r="J397" i="1"/>
  <c r="J394" i="1" s="1"/>
  <c r="J392" i="1" s="1"/>
  <c r="I397" i="1"/>
  <c r="I394" i="1" s="1"/>
  <c r="I392" i="1" s="1"/>
  <c r="H389" i="1"/>
  <c r="H388" i="1" s="1"/>
  <c r="G389" i="1"/>
  <c r="F389" i="1"/>
  <c r="G388" i="1"/>
  <c r="F388" i="1"/>
  <c r="G387" i="1"/>
  <c r="H386" i="1"/>
  <c r="H385" i="1" s="1"/>
  <c r="H384" i="1" s="1"/>
  <c r="H381" i="1" s="1"/>
  <c r="H378" i="1" s="1"/>
  <c r="G386" i="1"/>
  <c r="G385" i="1" s="1"/>
  <c r="G384" i="1" s="1"/>
  <c r="G381" i="1" s="1"/>
  <c r="G378" i="1" s="1"/>
  <c r="F386" i="1"/>
  <c r="F385" i="1" s="1"/>
  <c r="F384" i="1" s="1"/>
  <c r="F381" i="1" s="1"/>
  <c r="F378" i="1" s="1"/>
  <c r="J384" i="1"/>
  <c r="J381" i="1" s="1"/>
  <c r="J378" i="1" s="1"/>
  <c r="I384" i="1"/>
  <c r="I381" i="1" s="1"/>
  <c r="I378" i="1" s="1"/>
  <c r="H375" i="1"/>
  <c r="H374" i="1" s="1"/>
  <c r="G374" i="1"/>
  <c r="F374" i="1"/>
  <c r="K371" i="1"/>
  <c r="K375" i="1" s="1"/>
  <c r="H371" i="1"/>
  <c r="G371" i="1"/>
  <c r="G370" i="1" s="1"/>
  <c r="F371" i="1"/>
  <c r="F370" i="1" s="1"/>
  <c r="F367" i="1" s="1"/>
  <c r="F363" i="1" s="1"/>
  <c r="J367" i="1"/>
  <c r="J363" i="1" s="1"/>
  <c r="I367" i="1"/>
  <c r="G367" i="1"/>
  <c r="G363" i="1" s="1"/>
  <c r="I363" i="1"/>
  <c r="H360" i="1"/>
  <c r="G360" i="1"/>
  <c r="F360" i="1"/>
  <c r="G359" i="1"/>
  <c r="H358" i="1"/>
  <c r="H357" i="1" s="1"/>
  <c r="H356" i="1" s="1"/>
  <c r="H353" i="1" s="1"/>
  <c r="G358" i="1"/>
  <c r="G357" i="1" s="1"/>
  <c r="G356" i="1" s="1"/>
  <c r="G353" i="1" s="1"/>
  <c r="F358" i="1"/>
  <c r="F357" i="1" s="1"/>
  <c r="F356" i="1" s="1"/>
  <c r="F353" i="1" s="1"/>
  <c r="J353" i="1"/>
  <c r="I353" i="1"/>
  <c r="J350" i="1"/>
  <c r="J349" i="1" s="1"/>
  <c r="J348" i="1" s="1"/>
  <c r="I350" i="1"/>
  <c r="H350" i="1"/>
  <c r="G350" i="1"/>
  <c r="G349" i="1" s="1"/>
  <c r="G348" i="1" s="1"/>
  <c r="G344" i="1" s="1"/>
  <c r="F350" i="1"/>
  <c r="F349" i="1" s="1"/>
  <c r="F348" i="1" s="1"/>
  <c r="F344" i="1" s="1"/>
  <c r="I349" i="1"/>
  <c r="H349" i="1"/>
  <c r="H348" i="1" s="1"/>
  <c r="H344" i="1" s="1"/>
  <c r="I348" i="1"/>
  <c r="I344" i="1" s="1"/>
  <c r="J344" i="1"/>
  <c r="H341" i="1"/>
  <c r="H339" i="1" s="1"/>
  <c r="H336" i="1"/>
  <c r="H334" i="1" s="1"/>
  <c r="G336" i="1"/>
  <c r="G334" i="1" s="1"/>
  <c r="F336" i="1"/>
  <c r="F334" i="1" s="1"/>
  <c r="J334" i="1"/>
  <c r="I334" i="1"/>
  <c r="H332" i="1"/>
  <c r="H331" i="1" s="1"/>
  <c r="H330" i="1" s="1"/>
  <c r="L327" i="1"/>
  <c r="K327" i="1"/>
  <c r="G327" i="1"/>
  <c r="H326" i="1"/>
  <c r="H325" i="1" s="1"/>
  <c r="G326" i="1"/>
  <c r="G325" i="1" s="1"/>
  <c r="F326" i="1"/>
  <c r="F325" i="1" s="1"/>
  <c r="G324" i="1"/>
  <c r="G323" i="1" s="1"/>
  <c r="G322" i="1" s="1"/>
  <c r="G321" i="1" s="1"/>
  <c r="G318" i="1" s="1"/>
  <c r="H323" i="1"/>
  <c r="F323" i="1"/>
  <c r="F322" i="1" s="1"/>
  <c r="F321" i="1" s="1"/>
  <c r="H322" i="1"/>
  <c r="H321" i="1" s="1"/>
  <c r="J321" i="1"/>
  <c r="I321" i="1"/>
  <c r="I318" i="1" s="1"/>
  <c r="J318" i="1"/>
  <c r="H315" i="1"/>
  <c r="G315" i="1"/>
  <c r="G312" i="1"/>
  <c r="H310" i="1"/>
  <c r="G310" i="1"/>
  <c r="F310" i="1"/>
  <c r="K302" i="1"/>
  <c r="K299" i="1"/>
  <c r="K294" i="1"/>
  <c r="K293" i="1"/>
  <c r="G291" i="1"/>
  <c r="H289" i="1"/>
  <c r="H280" i="1" s="1"/>
  <c r="K286" i="1"/>
  <c r="G286" i="1"/>
  <c r="G285" i="1"/>
  <c r="G283" i="1"/>
  <c r="G280" i="1" s="1"/>
  <c r="F280" i="1"/>
  <c r="H277" i="1"/>
  <c r="H269" i="1" s="1"/>
  <c r="G277" i="1"/>
  <c r="G275" i="1"/>
  <c r="G274" i="1"/>
  <c r="G270" i="1"/>
  <c r="G269" i="1" s="1"/>
  <c r="F269" i="1"/>
  <c r="G266" i="1"/>
  <c r="G265" i="1" s="1"/>
  <c r="G264" i="1" s="1"/>
  <c r="H265" i="1"/>
  <c r="F265" i="1"/>
  <c r="F264" i="1" s="1"/>
  <c r="K263" i="1"/>
  <c r="O262" i="1"/>
  <c r="N262" i="1"/>
  <c r="M262" i="1"/>
  <c r="H262" i="1"/>
  <c r="G262" i="1"/>
  <c r="F262" i="1"/>
  <c r="N261" i="1"/>
  <c r="M261" i="1"/>
  <c r="K261" i="1"/>
  <c r="G261" i="1"/>
  <c r="G259" i="1" s="1"/>
  <c r="M259" i="1"/>
  <c r="H259" i="1"/>
  <c r="F259" i="1"/>
  <c r="N258" i="1"/>
  <c r="M258" i="1"/>
  <c r="M257" i="1"/>
  <c r="N256" i="1"/>
  <c r="M256" i="1"/>
  <c r="N255" i="1"/>
  <c r="G255" i="1"/>
  <c r="F255" i="1"/>
  <c r="F254" i="1" s="1"/>
  <c r="F253" i="1" s="1"/>
  <c r="F250" i="1" s="1"/>
  <c r="H254" i="1"/>
  <c r="J253" i="1"/>
  <c r="I253" i="1"/>
  <c r="I250" i="1" s="1"/>
  <c r="J250" i="1"/>
  <c r="J247" i="1" s="1"/>
  <c r="J246" i="1" s="1"/>
  <c r="G242" i="1"/>
  <c r="G241" i="1" s="1"/>
  <c r="H241" i="1"/>
  <c r="H238" i="1" s="1"/>
  <c r="H237" i="1" s="1"/>
  <c r="F241" i="1"/>
  <c r="G240" i="1"/>
  <c r="G239" i="1" s="1"/>
  <c r="G238" i="1" s="1"/>
  <c r="G237" i="1" s="1"/>
  <c r="G234" i="1" s="1"/>
  <c r="H239" i="1"/>
  <c r="F239" i="1"/>
  <c r="F238" i="1" s="1"/>
  <c r="F237" i="1" s="1"/>
  <c r="F232" i="1" s="1"/>
  <c r="J237" i="1"/>
  <c r="I237" i="1"/>
  <c r="J234" i="1"/>
  <c r="J232" i="1"/>
  <c r="H229" i="1"/>
  <c r="G229" i="1"/>
  <c r="G228" i="1" s="1"/>
  <c r="F229" i="1"/>
  <c r="F224" i="1" s="1"/>
  <c r="H228" i="1"/>
  <c r="H224" i="1"/>
  <c r="G220" i="1"/>
  <c r="H218" i="1"/>
  <c r="G218" i="1"/>
  <c r="G217" i="1" s="1"/>
  <c r="F218" i="1"/>
  <c r="H217" i="1"/>
  <c r="F217" i="1"/>
  <c r="K215" i="1"/>
  <c r="H214" i="1"/>
  <c r="G214" i="1"/>
  <c r="F214" i="1"/>
  <c r="F210" i="1" s="1"/>
  <c r="J210" i="1"/>
  <c r="I210" i="1"/>
  <c r="H207" i="1"/>
  <c r="H206" i="1" s="1"/>
  <c r="G207" i="1"/>
  <c r="F207" i="1"/>
  <c r="F206" i="1" s="1"/>
  <c r="G206" i="1"/>
  <c r="G203" i="1"/>
  <c r="G200" i="1" s="1"/>
  <c r="H200" i="1"/>
  <c r="F200" i="1"/>
  <c r="K199" i="1"/>
  <c r="H198" i="1"/>
  <c r="G198" i="1"/>
  <c r="F198" i="1"/>
  <c r="H195" i="1"/>
  <c r="G195" i="1"/>
  <c r="F195" i="1"/>
  <c r="L193" i="1"/>
  <c r="K193" i="1"/>
  <c r="H192" i="1"/>
  <c r="G192" i="1"/>
  <c r="F192" i="1"/>
  <c r="K191" i="1"/>
  <c r="K189" i="1"/>
  <c r="K188" i="1"/>
  <c r="H188" i="1"/>
  <c r="G188" i="1"/>
  <c r="F188" i="1"/>
  <c r="F187" i="1" s="1"/>
  <c r="G187" i="1"/>
  <c r="J186" i="1"/>
  <c r="J185" i="1" s="1"/>
  <c r="J182" i="1" s="1"/>
  <c r="J181" i="1" s="1"/>
  <c r="J180" i="1" s="1"/>
  <c r="I186" i="1"/>
  <c r="I185" i="1"/>
  <c r="I182" i="1" s="1"/>
  <c r="J163" i="1"/>
  <c r="I163" i="1"/>
  <c r="H163" i="1"/>
  <c r="G163" i="1"/>
  <c r="F163" i="1"/>
  <c r="H157" i="1"/>
  <c r="G157" i="1"/>
  <c r="F157" i="1"/>
  <c r="G153" i="1"/>
  <c r="H147" i="1"/>
  <c r="G147" i="1"/>
  <c r="F147" i="1"/>
  <c r="H145" i="1"/>
  <c r="G137" i="1"/>
  <c r="G130" i="1" s="1"/>
  <c r="H130" i="1"/>
  <c r="F130" i="1"/>
  <c r="G126" i="1"/>
  <c r="H121" i="1"/>
  <c r="G121" i="1"/>
  <c r="F121" i="1"/>
  <c r="H119" i="1"/>
  <c r="G119" i="1"/>
  <c r="F119" i="1"/>
  <c r="K118" i="1"/>
  <c r="H117" i="1"/>
  <c r="G117" i="1"/>
  <c r="F117" i="1"/>
  <c r="G112" i="1"/>
  <c r="G97" i="1" s="1"/>
  <c r="G107" i="1"/>
  <c r="H103" i="1"/>
  <c r="H97" i="1" s="1"/>
  <c r="H95" i="1" s="1"/>
  <c r="F97" i="1"/>
  <c r="J95" i="1"/>
  <c r="J166" i="1" s="1"/>
  <c r="I95" i="1"/>
  <c r="H87" i="1"/>
  <c r="G87" i="1"/>
  <c r="F87" i="1"/>
  <c r="H75" i="1"/>
  <c r="H76" i="1" s="1"/>
  <c r="I69" i="1"/>
  <c r="F69" i="1"/>
  <c r="H68" i="1"/>
  <c r="H69" i="1" s="1"/>
  <c r="G68" i="1"/>
  <c r="G67" i="1"/>
  <c r="F66" i="1"/>
  <c r="F70" i="1" s="1"/>
  <c r="G65" i="1"/>
  <c r="F865" i="1" l="1"/>
  <c r="F863" i="1" s="1"/>
  <c r="F318" i="1"/>
  <c r="G532" i="1"/>
  <c r="G592" i="1"/>
  <c r="F602" i="1"/>
  <c r="F634" i="1"/>
  <c r="F785" i="1"/>
  <c r="F784" i="1" s="1"/>
  <c r="F780" i="1" s="1"/>
  <c r="G842" i="1"/>
  <c r="J842" i="1"/>
  <c r="H264" i="1"/>
  <c r="F592" i="1"/>
  <c r="J776" i="1"/>
  <c r="J445" i="1"/>
  <c r="H370" i="1"/>
  <c r="H367" i="1" s="1"/>
  <c r="H363" i="1" s="1"/>
  <c r="I377" i="1"/>
  <c r="F377" i="1"/>
  <c r="H377" i="1"/>
  <c r="I404" i="1"/>
  <c r="G627" i="1"/>
  <c r="H750" i="1"/>
  <c r="I166" i="1"/>
  <c r="I64" i="1" s="1"/>
  <c r="I66" i="1" s="1"/>
  <c r="I70" i="1" s="1"/>
  <c r="F95" i="1"/>
  <c r="F166" i="1" s="1"/>
  <c r="F170" i="1" s="1"/>
  <c r="I247" i="1"/>
  <c r="I246" i="1" s="1"/>
  <c r="J377" i="1"/>
  <c r="G412" i="1"/>
  <c r="G417" i="1"/>
  <c r="F439" i="1"/>
  <c r="F435" i="1" s="1"/>
  <c r="H439" i="1"/>
  <c r="H435" i="1" s="1"/>
  <c r="H404" i="1" s="1"/>
  <c r="F574" i="1"/>
  <c r="G439" i="1"/>
  <c r="G435" i="1" s="1"/>
  <c r="G785" i="1"/>
  <c r="G784" i="1" s="1"/>
  <c r="G780" i="1" s="1"/>
  <c r="F548" i="1"/>
  <c r="I445" i="1"/>
  <c r="F777" i="1"/>
  <c r="F776" i="1" s="1"/>
  <c r="H817" i="1"/>
  <c r="H816" i="1" s="1"/>
  <c r="H812" i="1" s="1"/>
  <c r="F194" i="1"/>
  <c r="F186" i="1" s="1"/>
  <c r="F185" i="1" s="1"/>
  <c r="F182" i="1" s="1"/>
  <c r="F181" i="1" s="1"/>
  <c r="F180" i="1" s="1"/>
  <c r="M327" i="1"/>
  <c r="J519" i="1"/>
  <c r="H746" i="1"/>
  <c r="F753" i="1"/>
  <c r="H85" i="1"/>
  <c r="H194" i="1"/>
  <c r="H210" i="1"/>
  <c r="G224" i="1"/>
  <c r="F234" i="1"/>
  <c r="G254" i="1"/>
  <c r="G253" i="1" s="1"/>
  <c r="G250" i="1" s="1"/>
  <c r="G247" i="1" s="1"/>
  <c r="G246" i="1" s="1"/>
  <c r="H548" i="1"/>
  <c r="H519" i="1" s="1"/>
  <c r="I707" i="1"/>
  <c r="I777" i="1"/>
  <c r="I842" i="1"/>
  <c r="G194" i="1"/>
  <c r="G186" i="1" s="1"/>
  <c r="G185" i="1" s="1"/>
  <c r="G210" i="1"/>
  <c r="F247" i="1"/>
  <c r="F246" i="1" s="1"/>
  <c r="M263" i="1"/>
  <c r="F411" i="1"/>
  <c r="F407" i="1" s="1"/>
  <c r="F404" i="1" s="1"/>
  <c r="J404" i="1"/>
  <c r="G519" i="1"/>
  <c r="I592" i="1"/>
  <c r="J602" i="1"/>
  <c r="J592" i="1" s="1"/>
  <c r="G634" i="1"/>
  <c r="G622" i="1" s="1"/>
  <c r="G620" i="1" s="1"/>
  <c r="G619" i="1" s="1"/>
  <c r="H714" i="1"/>
  <c r="J736" i="1"/>
  <c r="H785" i="1"/>
  <c r="H784" i="1" s="1"/>
  <c r="H780" i="1" s="1"/>
  <c r="H777" i="1" s="1"/>
  <c r="H776" i="1" s="1"/>
  <c r="H234" i="1"/>
  <c r="H232" i="1"/>
  <c r="J170" i="1"/>
  <c r="J64" i="1"/>
  <c r="J66" i="1" s="1"/>
  <c r="H318" i="1"/>
  <c r="I170" i="1"/>
  <c r="H166" i="1"/>
  <c r="H187" i="1"/>
  <c r="G232" i="1"/>
  <c r="I234" i="1"/>
  <c r="I232" i="1"/>
  <c r="I181" i="1" s="1"/>
  <c r="I180" i="1" s="1"/>
  <c r="H253" i="1"/>
  <c r="H250" i="1" s="1"/>
  <c r="G69" i="1"/>
  <c r="G95" i="1"/>
  <c r="G166" i="1" s="1"/>
  <c r="N263" i="1"/>
  <c r="G377" i="1"/>
  <c r="H574" i="1"/>
  <c r="I619" i="1"/>
  <c r="G445" i="1"/>
  <c r="F622" i="1"/>
  <c r="F620" i="1" s="1"/>
  <c r="F619" i="1" s="1"/>
  <c r="H445" i="1"/>
  <c r="I519" i="1"/>
  <c r="I574" i="1"/>
  <c r="H627" i="1"/>
  <c r="H622" i="1" s="1"/>
  <c r="H620" i="1" s="1"/>
  <c r="H619" i="1" s="1"/>
  <c r="G708" i="1"/>
  <c r="H758" i="1"/>
  <c r="H736" i="1" s="1"/>
  <c r="H761" i="1"/>
  <c r="G761" i="1"/>
  <c r="G758" i="1"/>
  <c r="G736" i="1" s="1"/>
  <c r="G777" i="1"/>
  <c r="G776" i="1" s="1"/>
  <c r="G865" i="1"/>
  <c r="G863" i="1" s="1"/>
  <c r="G862" i="1"/>
  <c r="F532" i="1"/>
  <c r="F519" i="1" s="1"/>
  <c r="F707" i="1"/>
  <c r="F708" i="1"/>
  <c r="H862" i="1"/>
  <c r="F85" i="1" l="1"/>
  <c r="H247" i="1"/>
  <c r="H246" i="1" s="1"/>
  <c r="H186" i="1"/>
  <c r="H185" i="1" s="1"/>
  <c r="G182" i="1"/>
  <c r="G181" i="1" s="1"/>
  <c r="G180" i="1" s="1"/>
  <c r="F402" i="1"/>
  <c r="F245" i="1" s="1"/>
  <c r="F179" i="1" s="1"/>
  <c r="H402" i="1"/>
  <c r="H182" i="1"/>
  <c r="H181" i="1" s="1"/>
  <c r="H180" i="1" s="1"/>
  <c r="G411" i="1"/>
  <c r="G407" i="1" s="1"/>
  <c r="G404" i="1" s="1"/>
  <c r="G402" i="1" s="1"/>
  <c r="G245" i="1" s="1"/>
  <c r="G179" i="1" s="1"/>
  <c r="I402" i="1"/>
  <c r="G85" i="1"/>
  <c r="G64" i="1" s="1"/>
  <c r="G66" i="1" s="1"/>
  <c r="J402" i="1"/>
  <c r="J245" i="1" s="1"/>
  <c r="J179" i="1" s="1"/>
  <c r="J69" i="1" s="1"/>
  <c r="J67" i="1" s="1"/>
  <c r="I776" i="1"/>
  <c r="I245" i="1" s="1"/>
  <c r="I179" i="1" s="1"/>
  <c r="K174" i="1" s="1"/>
  <c r="H708" i="1"/>
  <c r="H710" i="1"/>
  <c r="H707" i="1"/>
  <c r="H245" i="1" s="1"/>
  <c r="H170" i="1"/>
  <c r="H64" i="1"/>
  <c r="H66" i="1" s="1"/>
  <c r="G70" i="1"/>
  <c r="H179" i="1" l="1"/>
  <c r="N174" i="1"/>
  <c r="M70" i="1"/>
  <c r="H70" i="1"/>
  <c r="L174" i="1"/>
</calcChain>
</file>

<file path=xl/sharedStrings.xml><?xml version="1.0" encoding="utf-8"?>
<sst xmlns="http://schemas.openxmlformats.org/spreadsheetml/2006/main" count="765" uniqueCount="549">
  <si>
    <t>I. OPĆI DIO</t>
  </si>
  <si>
    <t xml:space="preserve">                    Proračun Općine Ferdinandovac za 2020. godinu i projekcije za 2021. i 2022. godinu ( u daljnjem tekstu: Proračun) sastoji se od:</t>
  </si>
  <si>
    <t>Projekcija 2022.</t>
  </si>
  <si>
    <t>A.</t>
  </si>
  <si>
    <t>RAČUN PRIHODA I RASHODA</t>
  </si>
  <si>
    <t>PRIHODI POSLOVANJA</t>
  </si>
  <si>
    <t xml:space="preserve">PRIHODI OD PRODAJE </t>
  </si>
  <si>
    <t>NEFINANCIJSKE IMOVINE</t>
  </si>
  <si>
    <t>RASHODI POSLOVANJA</t>
  </si>
  <si>
    <t>RASHODI ZA NABAVU</t>
  </si>
  <si>
    <t>RAZLIKA / VIŠAK - MANJAK</t>
  </si>
  <si>
    <t>B.</t>
  </si>
  <si>
    <t>RAČUN FINANCIRANJA</t>
  </si>
  <si>
    <t>PRIMICI OD FINANCIJSKE IMOVINE</t>
  </si>
  <si>
    <t>I ZADUŽIVANJA</t>
  </si>
  <si>
    <t>IZDACI ZA UDJELE U GLAVNICI</t>
  </si>
  <si>
    <t>NETO ZADUŽIVANJE/FINANCIRANJE</t>
  </si>
  <si>
    <t>C.</t>
  </si>
  <si>
    <t>PRENESENA SREDSTVA</t>
  </si>
  <si>
    <t xml:space="preserve">MANJAK PRIHODA I PRIMITAKA </t>
  </si>
  <si>
    <t>TEKUĆE GODINE</t>
  </si>
  <si>
    <t>VIŠAK PRIHODA I PRIMITAKA IZ PRETHODNIH</t>
  </si>
  <si>
    <t>GODINA</t>
  </si>
  <si>
    <t>D.</t>
  </si>
  <si>
    <t>UKUPNO</t>
  </si>
  <si>
    <t>VIŠAK/MANJAK + NETO FINANCIRANJE</t>
  </si>
  <si>
    <t xml:space="preserve">         U članku 2. Prihodi i rashodi te primici i izdaci po ekonomskoj klasifikaciji utvrđeni u Računu prihoda i rashoda i Računu financiranja u Proračunu mijenjaju se u:</t>
  </si>
  <si>
    <t>A. Računu prihoda i rashoda, B. Računu financiranja i C. Višku prihoda i primitaka, kako slijedi:</t>
  </si>
  <si>
    <t>A. RAČUN PRIHODA I RASHODA</t>
  </si>
  <si>
    <t xml:space="preserve">Proračun 2021. godine </t>
  </si>
  <si>
    <t>Izvršenje do 10.10.21.</t>
  </si>
  <si>
    <t xml:space="preserve">Prijedlog Proračuna 2022. godine </t>
  </si>
  <si>
    <t xml:space="preserve">Projekcija 2023. godine </t>
  </si>
  <si>
    <t xml:space="preserve">Projekcija 2024. godine </t>
  </si>
  <si>
    <t xml:space="preserve">A. </t>
  </si>
  <si>
    <t xml:space="preserve">RAČUN PRIHODA I RASHODA </t>
  </si>
  <si>
    <t>PRIHODI OD PRODAJE NEFINANCIJSKE IMOVINE</t>
  </si>
  <si>
    <t>UKUPNO PRIHODI</t>
  </si>
  <si>
    <t>RASHODI ZA NABAVU NEFINANCIJSKE IMOVINE</t>
  </si>
  <si>
    <t>UKUPNO RASHODI</t>
  </si>
  <si>
    <t xml:space="preserve">razlika prihoda i rashoda </t>
  </si>
  <si>
    <t>RAZLIKA - VIŠAK/MANJAK</t>
  </si>
  <si>
    <t>PRIMICI OD FINANCIJSKE IMOVINE I ZADUŽIVANJA</t>
  </si>
  <si>
    <t xml:space="preserve">višak prethodnih godina </t>
  </si>
  <si>
    <t xml:space="preserve">IZDACI ZA FINANCIJSKU IMOVINE I OTPLATE ZAJMOVA </t>
  </si>
  <si>
    <t>NETO FINANCIRANJE</t>
  </si>
  <si>
    <t>RASPOLOŽIVA SREDSTVA IZ PRETHODNIH GODINA</t>
  </si>
  <si>
    <r>
      <t>MANJAK/</t>
    </r>
    <r>
      <rPr>
        <b/>
        <sz val="12"/>
        <rFont val="Arial"/>
        <family val="2"/>
        <charset val="238"/>
      </rPr>
      <t>VIŠAK</t>
    </r>
    <r>
      <rPr>
        <sz val="12"/>
        <rFont val="Arial"/>
        <family val="2"/>
        <charset val="238"/>
      </rPr>
      <t xml:space="preserve"> PRIHODA IZ PRETHODNIH GODINA </t>
    </r>
  </si>
  <si>
    <t>Članak 2.</t>
  </si>
  <si>
    <t>Projekcija 2023</t>
  </si>
  <si>
    <t>Projekcija 2024</t>
  </si>
  <si>
    <t>UKUPNO PRIHODI I PRIMICI</t>
  </si>
  <si>
    <t>sakriti</t>
  </si>
  <si>
    <t>PRIHODI OD POREZA</t>
  </si>
  <si>
    <t>Porez na dohodak</t>
  </si>
  <si>
    <t xml:space="preserve">ISPLATA GOD.OBRAČUN POREZA </t>
  </si>
  <si>
    <t>Porez na korištenje javnih površina</t>
  </si>
  <si>
    <t>Porez na promet nekretnina</t>
  </si>
  <si>
    <t>Porez na potrošnju</t>
  </si>
  <si>
    <t>Porez na tvrtku</t>
  </si>
  <si>
    <t xml:space="preserve">POMOĆI IZ INOZEMSTVA I OD SUBJEKATA </t>
  </si>
  <si>
    <t>UNUTAR OPĆEG PRORAČUNA</t>
  </si>
  <si>
    <t>POMOĆI PRORAČUNU IZ DRUGIH PRORAČUNA</t>
  </si>
  <si>
    <t>Tekuće pomoći iz državnog proračuna-komp. Mjera</t>
  </si>
  <si>
    <t>Tek.pomoći-ŽP-sred.za drva</t>
  </si>
  <si>
    <t>Pomoći iz DP-za Dječji vrtić</t>
  </si>
  <si>
    <t>mala škola</t>
  </si>
  <si>
    <t>Pomoći za provedbu izbora-EU parlament predsjed. i parlamentarni)</t>
  </si>
  <si>
    <t>Pomoći iz državnog proračuna-projektna dokument. Crkva</t>
  </si>
  <si>
    <t>Pomoći iz DP-vrtić (220+150)+ OKOLIŠ</t>
  </si>
  <si>
    <t>Pomoći iz DP-EU-Prog.ulaganja u zajednicu (Dr.dom )</t>
  </si>
  <si>
    <t>Pomoći iz DP-turist.infrastruktura</t>
  </si>
  <si>
    <t>Kapitalne pomoći iz ŽP-(ceste i drugi projekti)</t>
  </si>
  <si>
    <t>DP (FOND ZAŠT.OKOL. ELEKTRANA VRTIĆ</t>
  </si>
  <si>
    <t xml:space="preserve">LAG </t>
  </si>
  <si>
    <t xml:space="preserve">DP (MIN.REG.RAZ.)- DJEČJE IGRALIŠTE </t>
  </si>
  <si>
    <t>Kapitalne pomoći iz DP-EU sredstva-nerazvrstane ceste</t>
  </si>
  <si>
    <t>povrati za skupne projekte</t>
  </si>
  <si>
    <t xml:space="preserve">Kapitalne pomoći iz DP- Komunalije zemljište </t>
  </si>
  <si>
    <t>Kapitalne pomoći iz DP-skela</t>
  </si>
  <si>
    <t>POMOĆI OD IZVANPRORAČUNSKIH KORISNIKA</t>
  </si>
  <si>
    <t>Potpore zavoda za zapošljavanje</t>
  </si>
  <si>
    <t>POMOĆI IZRAVNANJA ZA DECENTRALIZIRANE FUNKCIJE</t>
  </si>
  <si>
    <t>Porez na dohodak-JVP</t>
  </si>
  <si>
    <t>POMOĆI TEMELJEM PRIJENOSA EU SREDSTAVA</t>
  </si>
  <si>
    <t>Potpore EU sredstva -en.obnove zgrade</t>
  </si>
  <si>
    <t>Kapitalne pomoći iz DP-EU sredstva-Zaželi i pomoć je moć</t>
  </si>
  <si>
    <t>Kapitalne pomoći iz EU-tribina</t>
  </si>
  <si>
    <t>Kapitalne pomoći reflektori</t>
  </si>
  <si>
    <t>Pomoćno igralište</t>
  </si>
  <si>
    <t>PRIHODI OD IMOVINE</t>
  </si>
  <si>
    <t xml:space="preserve">Ostali prihodi do financ. imovine naplata zadužnice </t>
  </si>
  <si>
    <t>Kamate na oročena sred. i depozite po viđenju</t>
  </si>
  <si>
    <t>Prihodi od dividende</t>
  </si>
  <si>
    <t>Naknada za koncesiju - groblje</t>
  </si>
  <si>
    <t>Naknada za koncesiju - dimnjačarske usluge</t>
  </si>
  <si>
    <t>Naknada za koncesiju-INA</t>
  </si>
  <si>
    <t>Prihodi od zakupa i iznajmljivanja imovine</t>
  </si>
  <si>
    <t>Prihod od najma Društvenog doma</t>
  </si>
  <si>
    <t>Prihodi od groblja i mrtvačnice</t>
  </si>
  <si>
    <t>Prihod od zakupa pljop.zemljišta</t>
  </si>
  <si>
    <t>Prihod od prenamjene poljoprivrednog zemljišta</t>
  </si>
  <si>
    <t>Prihod od spomeničke rente</t>
  </si>
  <si>
    <t>Naknada za eksploataciju mineralnih sirovina</t>
  </si>
  <si>
    <t>Prihod uslužnosti prava puta od infrastr.operatera</t>
  </si>
  <si>
    <t>Ostali prihodi od nef. Imovine</t>
  </si>
  <si>
    <t>PRIHODI PO POSEBNIM PROPISIMA</t>
  </si>
  <si>
    <t>Prihodi od grobne naknade</t>
  </si>
  <si>
    <t>Vodni doprinos</t>
  </si>
  <si>
    <t>Šumski doprinos</t>
  </si>
  <si>
    <t>Komunalni doprinos</t>
  </si>
  <si>
    <t>Komunalne naknade</t>
  </si>
  <si>
    <t>Ostali nespomenuti prihodi</t>
  </si>
  <si>
    <t xml:space="preserve">troškovi naplaćenih ovrha </t>
  </si>
  <si>
    <t>Prihodi od uplate roditelja za DV</t>
  </si>
  <si>
    <t>Prihod od prodaje državnih biljega</t>
  </si>
  <si>
    <t>Naknada za zadržavanje nez.izg.zgrada</t>
  </si>
  <si>
    <t>OSTALI PRIHODI</t>
  </si>
  <si>
    <t>Prihodi od usluga vaganja</t>
  </si>
  <si>
    <t>Prihodi od prijevoza skelom</t>
  </si>
  <si>
    <t>Kapitalne donacije</t>
  </si>
  <si>
    <t>PRIHODI OD PRODAJE PROIZVED. IMOV.</t>
  </si>
  <si>
    <t>Stambeni objekti</t>
  </si>
  <si>
    <t>PRIHODI I PRIMICI</t>
  </si>
  <si>
    <t>VIŠAK /MANJAK PRIHODA PRETHODNIH GODINA</t>
  </si>
  <si>
    <t xml:space="preserve">UKUPNO PRIHODI I PRIMICI+VIŠAK PRETHODNIH GODINA </t>
  </si>
  <si>
    <t xml:space="preserve">II. POSEBNI DIO </t>
  </si>
  <si>
    <t>UKUPNO RASHODI I IZDACI</t>
  </si>
  <si>
    <t>RAZDJEL 001 PREDSTAVNIČKA I IZVRŠNA TIJELA</t>
  </si>
  <si>
    <t>GLAVA 00101: PREDSTAVNIČKA I IZVRŠNA TIJELA</t>
  </si>
  <si>
    <t>Program 01: Predstavnička i izvršna vlast</t>
  </si>
  <si>
    <t>Funkcijska klasifikacija: 01 - Opće javne usluge</t>
  </si>
  <si>
    <t>Izvor financiranja: 01 - Opći prihodi i primici</t>
  </si>
  <si>
    <t>Aktivnost A001010101: Općinski načelnik i zamjenik načelnika</t>
  </si>
  <si>
    <t>RASHODI ZA ZAPOSLENE</t>
  </si>
  <si>
    <t>BRUTO PLAĆA</t>
  </si>
  <si>
    <t>Neto plaća načelnika</t>
  </si>
  <si>
    <t>Doprinosi iz plaća</t>
  </si>
  <si>
    <t>DOPRINOSI NA PLAĆE</t>
  </si>
  <si>
    <t>Doprinosi za zdravstveno osiguranje</t>
  </si>
  <si>
    <t>MATERIJALNI RASHODI</t>
  </si>
  <si>
    <t>NAKNADE TROŠKOVA ZAPOSLENIMA</t>
  </si>
  <si>
    <t>Službena putovanja</t>
  </si>
  <si>
    <t>Stručno usavršavanje</t>
  </si>
  <si>
    <t>RASHODI ZA USLUGE</t>
  </si>
  <si>
    <t>Usluge odvjetnika i pravnog savjetovanja</t>
  </si>
  <si>
    <t>OSTALI NESPOMENUTI RASHODI POSLOVANJA</t>
  </si>
  <si>
    <t>Bruto naknada zamjeniku načelnika</t>
  </si>
  <si>
    <t>Reprezentacija - općinski i vjerski blagdani</t>
  </si>
  <si>
    <t>Koncert-Dani Općine</t>
  </si>
  <si>
    <t>Reprezentacija</t>
  </si>
  <si>
    <t>Reprezentacija - božićni pokloni</t>
  </si>
  <si>
    <t>OSTALI RASHODI</t>
  </si>
  <si>
    <t xml:space="preserve">Tekuće donacije </t>
  </si>
  <si>
    <t>Tekuća zaliha</t>
  </si>
  <si>
    <t>Aktivnost 001010102: Općinsko vijeće i radna tijela Općinskog vijeća</t>
  </si>
  <si>
    <t>OSTALI NESPOMENUTI RASHODI POSLOV.</t>
  </si>
  <si>
    <t>Naknade članovima Op.vijeća i Povjerenstava</t>
  </si>
  <si>
    <t>Savjet potrošača-naknade</t>
  </si>
  <si>
    <t>TEKUĆE DONACIJE</t>
  </si>
  <si>
    <t>Tekuće donacije u novcu (savjet mladih)</t>
  </si>
  <si>
    <t>Tekuće donacije u novcu (stranke)</t>
  </si>
  <si>
    <t>Aktivnost 001010103: lokalni izbori</t>
  </si>
  <si>
    <t>Izvor financiranja: 05 - Pomoći</t>
  </si>
  <si>
    <t xml:space="preserve">Troškovi lokalnih izbora </t>
  </si>
  <si>
    <t>Program 02: Mjesna samouprava</t>
  </si>
  <si>
    <t>Funkcijska klasifikacija: 01 Opće javne usluge</t>
  </si>
  <si>
    <t>Aktivnost: 001020101 Djelokrug mjesne samouprave</t>
  </si>
  <si>
    <t>Tekuće održavanje</t>
  </si>
  <si>
    <t>Naknade članovima MO</t>
  </si>
  <si>
    <t>Troškovi izbora - MO</t>
  </si>
  <si>
    <t>RAZDJEL 002 JEDINSTVENI UPRAVNI ODJEL</t>
  </si>
  <si>
    <t>GLAVA 00201: jedinstveni upravni odjel</t>
  </si>
  <si>
    <t>Program 01: Opći, upravni i financijsko računovod. poslovi</t>
  </si>
  <si>
    <t>Aktivnost A002010101: Redovni rad Jedinstvenog upravnog</t>
  </si>
  <si>
    <t>odjela</t>
  </si>
  <si>
    <t>Izvor financiranja: 04 - Prihod za posebne namjene</t>
  </si>
  <si>
    <t>BRUTO PLAĆE</t>
  </si>
  <si>
    <t>Neto plaće</t>
  </si>
  <si>
    <t>MEĐO</t>
  </si>
  <si>
    <t>RUŽA</t>
  </si>
  <si>
    <t>ŠTEF</t>
  </si>
  <si>
    <t>OSTALI RASHODI ZA ZAPOSLENE</t>
  </si>
  <si>
    <t>ŠČUKA</t>
  </si>
  <si>
    <t xml:space="preserve">otpremnina </t>
  </si>
  <si>
    <t>20 NETO RUŽA</t>
  </si>
  <si>
    <t xml:space="preserve">Ostali rashodi za zaposlene (regres, božićnice, </t>
  </si>
  <si>
    <t>HELENA</t>
  </si>
  <si>
    <t>JA</t>
  </si>
  <si>
    <t>Naknada za prijevoz na posao i s posla</t>
  </si>
  <si>
    <t>RASHODI ZA MATERIJAL I ENERGIJU</t>
  </si>
  <si>
    <t>Uredski materijal</t>
  </si>
  <si>
    <t>Toneri i tinte</t>
  </si>
  <si>
    <t>Literatura</t>
  </si>
  <si>
    <t>Materijal i sred. za čišćenje</t>
  </si>
  <si>
    <t>Materijal za tekuće održavanje</t>
  </si>
  <si>
    <t>Ostali materijal</t>
  </si>
  <si>
    <t>Električna energija</t>
  </si>
  <si>
    <t xml:space="preserve">Potrošnja plina </t>
  </si>
  <si>
    <t>Sitan inventar</t>
  </si>
  <si>
    <t>Radna i zaštitna odjeća i obuća</t>
  </si>
  <si>
    <t>Usluge telefona</t>
  </si>
  <si>
    <t>Poštanske marke i poštarina</t>
  </si>
  <si>
    <t>Održavanje građevinskih objekata</t>
  </si>
  <si>
    <t>Održavanje prijevoznih sredstava-TEHNIČKI</t>
  </si>
  <si>
    <t>Održavanje postrojenja i opreme</t>
  </si>
  <si>
    <t>Izdaci reklamiranja i objave oglasa</t>
  </si>
  <si>
    <t>Izrada i ažuriranje web i facebook str.</t>
  </si>
  <si>
    <t>Slivna vodna naknada</t>
  </si>
  <si>
    <t xml:space="preserve">Intelektualne usluge </t>
  </si>
  <si>
    <t>Najam opreme (fotokop.aparat)</t>
  </si>
  <si>
    <t>Najam ostale opreme</t>
  </si>
  <si>
    <t>Najam računalnih programa</t>
  </si>
  <si>
    <t>Liječnički pregledi</t>
  </si>
  <si>
    <t>Ugovori o djelu - bruto</t>
  </si>
  <si>
    <t>Izrada Izvješća o stanju u prostoru</t>
  </si>
  <si>
    <t xml:space="preserve">USLUGE ODVJETNIKA </t>
  </si>
  <si>
    <t>Geodetske usluge</t>
  </si>
  <si>
    <t>Konzultantske usluge</t>
  </si>
  <si>
    <t>Računalne usluge i antivirusni programi</t>
  </si>
  <si>
    <t>Grafičke i tiskarske usluge,izrada fotografija</t>
  </si>
  <si>
    <t>Usluge bibliobusa</t>
  </si>
  <si>
    <t>HRT pretplata</t>
  </si>
  <si>
    <t>Usluga slanja e-računa</t>
  </si>
  <si>
    <t>Troškovi prijevoza pokojnika</t>
  </si>
  <si>
    <t xml:space="preserve">Zaštita na radu </t>
  </si>
  <si>
    <t xml:space="preserve">Arhiva </t>
  </si>
  <si>
    <t>DP-1% prihoda</t>
  </si>
  <si>
    <t>OPSKRBA VODOM</t>
  </si>
  <si>
    <t>Ostale nespomenute usluge+prijevoz iz rezerve</t>
  </si>
  <si>
    <t>Premije osiguranja</t>
  </si>
  <si>
    <t>Reprezentacija - tekuća</t>
  </si>
  <si>
    <t>Članarine- Udruga Općina,LAG, TZ</t>
  </si>
  <si>
    <t>Prijevozna sredstva</t>
  </si>
  <si>
    <t>Kombi</t>
  </si>
  <si>
    <t>Aktivnost: 002010102 - Financije</t>
  </si>
  <si>
    <t>Sudske i javnobilježničke pristojbe</t>
  </si>
  <si>
    <t>FINANCIJSKI RASHODI</t>
  </si>
  <si>
    <t>OSTALI FINANCIJSKI RASHODI</t>
  </si>
  <si>
    <t>Bankarske usluge i usluge platnog prometa</t>
  </si>
  <si>
    <t xml:space="preserve">Ostali nesp. fin. Rashodi+ kamate pozajmica </t>
  </si>
  <si>
    <t>IZDACI ZA FIN. IMOVINU I OTPLATE ZAJMOVA</t>
  </si>
  <si>
    <t xml:space="preserve">IZDACI ZA OTPLATU PRIMLJENIH ZAJMOVA </t>
  </si>
  <si>
    <t xml:space="preserve">otplata pozajmice </t>
  </si>
  <si>
    <t xml:space="preserve">Kapitalni projekt:002030203- Sufinanciranje ŽUC </t>
  </si>
  <si>
    <t xml:space="preserve">POMOĆI DANE U INOZEMSTVO I UNUTAR OPĆEG PRORAČUNA </t>
  </si>
  <si>
    <t xml:space="preserve">Tekuće pomoći unutar općeg proračuna </t>
  </si>
  <si>
    <t xml:space="preserve">Kapitalni projekt:002030205-SUF. REKONSTRUKCIJE MOSTA </t>
  </si>
  <si>
    <t>Aktivnost A002010103: Izrada dokumentacije</t>
  </si>
  <si>
    <t>Izvor financiranja: 01 - Opći  prihodi i primici</t>
  </si>
  <si>
    <t>Izvor financiranja: 05  -  Pomoći</t>
  </si>
  <si>
    <t>RASHODI ZA NABAVU PROIZVEDENE FINANCIJSKE IMOVINE</t>
  </si>
  <si>
    <t>NEMATERIJALNA PROIZVEDENE IMOVINA</t>
  </si>
  <si>
    <t>Izrada projektne natječajne dokumentacije</t>
  </si>
  <si>
    <t>Aktivnost A002010104: Nabava opreme i namještaja</t>
  </si>
  <si>
    <t>POSTROJENJA I OPREMA</t>
  </si>
  <si>
    <t>Uredska oprema i namještaj</t>
  </si>
  <si>
    <t>DRUŠTVENI DOM</t>
  </si>
  <si>
    <t>NEMATERIJALNA PROIZVEDENA IMOVINA</t>
  </si>
  <si>
    <t>Nabava računalnih programa</t>
  </si>
  <si>
    <t xml:space="preserve">Program 02: Zapošljavanje osoba na javnim radovima </t>
  </si>
  <si>
    <t>i stručnom osposobljavanju</t>
  </si>
  <si>
    <t xml:space="preserve">Aktivnost A002020101: Redovni rad osoba na javnim radovima </t>
  </si>
  <si>
    <t xml:space="preserve">Izvor financiranja: 05 - Pomoći </t>
  </si>
  <si>
    <t xml:space="preserve">RASHODI ZA ZAPOSLENE </t>
  </si>
  <si>
    <t>1 na 12 mj</t>
  </si>
  <si>
    <t>GLAVA 00202: Poljoprivreda i poduzetništvo</t>
  </si>
  <si>
    <t>Program 01: Unaprjeđenje poljoprivrede</t>
  </si>
  <si>
    <t>Funkcijska klasifikacija: 04 - Ekonomski poslovi</t>
  </si>
  <si>
    <t xml:space="preserve">Aktivnost: 002020101: Poticanje poljoprivredne proizvodnje </t>
  </si>
  <si>
    <t>i stočarstva</t>
  </si>
  <si>
    <t>Izvor financiranja: 01- Opći prihodi i primici</t>
  </si>
  <si>
    <t>SUBVENCIJE</t>
  </si>
  <si>
    <t>SUBVENCIJE POLJOPRIVREDNICIMA</t>
  </si>
  <si>
    <t>Subvencije poljoprivrednicima</t>
  </si>
  <si>
    <t>POMOĆI UNUTAR OPĆEG PRORAČUNA</t>
  </si>
  <si>
    <t>Poljoprivredni redar</t>
  </si>
  <si>
    <t>Program 02: Unaprjeđenje razvoja turizma</t>
  </si>
  <si>
    <t>Aktivnost 002020102: Subvencije u turizmu</t>
  </si>
  <si>
    <t>SUBVENCIJE OBRTNICIMA I PODUZETNICIMA</t>
  </si>
  <si>
    <t>Subvencije obrtnicima i poduzetnicima</t>
  </si>
  <si>
    <t xml:space="preserve">GLAVA 00203: Prostorno planiranje, uređenje </t>
  </si>
  <si>
    <t>i komunalne djelatnosti</t>
  </si>
  <si>
    <t>Program 01: Program održavanja komunalne infrastrukture</t>
  </si>
  <si>
    <t>Funkcijska klasifikacija: 06 - Unaprjeđenje stanovanja i zajednice</t>
  </si>
  <si>
    <t xml:space="preserve">Aktivnost: 002030101: Održavanje javnih površina i nerazvrstanih </t>
  </si>
  <si>
    <t xml:space="preserve">cesta </t>
  </si>
  <si>
    <t>Sadnice i cvijeće</t>
  </si>
  <si>
    <t>Gorivo i mazivo za kosilice</t>
  </si>
  <si>
    <t>Materijal za tekuće održavanje javnih površina</t>
  </si>
  <si>
    <t>Materijal za održavanje kosilica</t>
  </si>
  <si>
    <t>Usluge održavanja kosilica</t>
  </si>
  <si>
    <t xml:space="preserve">održavanje ošasne imovine </t>
  </si>
  <si>
    <t>Usluge odvoza smeća s mjesnog groblja</t>
  </si>
  <si>
    <t>Šodrenje, snijeg, tek.održavanje cesta i mostova, krpanje</t>
  </si>
  <si>
    <t>Aktivnost: 002030104 - Održavanje groblja</t>
  </si>
  <si>
    <t>RASHODI ZA USLUGE izrada kontrejnera</t>
  </si>
  <si>
    <t>obnova križeva</t>
  </si>
  <si>
    <t>323   cvijeće, drveće, vodovod</t>
  </si>
  <si>
    <t xml:space="preserve">Aktivnost: 002030103 - Održavanje građ. javne odvodnje oborinskih voda </t>
  </si>
  <si>
    <t>Ostali materijal-cijevi</t>
  </si>
  <si>
    <t>Aktivnost: 002030102 - Tekuće održavanje mreže javne rasvjete</t>
  </si>
  <si>
    <t>Utrošak el.energije</t>
  </si>
  <si>
    <t>Održavanje i modernizacija mreže javne rasvjete</t>
  </si>
  <si>
    <t>Program 02: Program građenja komunalne infrastrukture</t>
  </si>
  <si>
    <t xml:space="preserve">Kapitalni projekt: 002030201: Rekonstrukcija i gradnja </t>
  </si>
  <si>
    <t>nerazvrstanih cesta i staza</t>
  </si>
  <si>
    <t xml:space="preserve">Izvor financiranja: 04 - Prihod za posebne namjene </t>
  </si>
  <si>
    <t>RASHODI ZA NABAVU PROIZVEDENE DUGOTRAJNE IMOVINE</t>
  </si>
  <si>
    <t>GRAĐEVINSKI OBJEKTI</t>
  </si>
  <si>
    <t>Asfaltiranje nerazvrstanih cesta</t>
  </si>
  <si>
    <t xml:space="preserve">Kapitalni projekt:002030206: Uređenje parka na Trgu slobode  </t>
  </si>
  <si>
    <t>Ostali prometni objekti</t>
  </si>
  <si>
    <t>Ostali građ. objekti</t>
  </si>
  <si>
    <t xml:space="preserve">Kapitalni projekt: 002030208: Proširenje parkinga i uređenje okoliša oko škole </t>
  </si>
  <si>
    <t xml:space="preserve">Kapitalni projekt 002030209: Izgradnja dječjeg igrališta </t>
  </si>
  <si>
    <t xml:space="preserve">Kapitalni projekt:002030210:Izgradnja fitnes parka </t>
  </si>
  <si>
    <t xml:space="preserve">Kapitalni projekt: 002030202 - Rekonstrukcija sportskih </t>
  </si>
  <si>
    <t>i rekreacijskih prostora</t>
  </si>
  <si>
    <t>Izgradnja montažnih tribina na igralištu</t>
  </si>
  <si>
    <t xml:space="preserve">Pomoćno igralište </t>
  </si>
  <si>
    <t>Reflektori</t>
  </si>
  <si>
    <t>Kapitalni projekt: 002030204 - Izgradnja ograde i pješačke staze (Uređenje groblja)</t>
  </si>
  <si>
    <t xml:space="preserve">na mjesnom groblju </t>
  </si>
  <si>
    <t xml:space="preserve">Izvor financiranja: 01 - Opći prihodi i primici </t>
  </si>
  <si>
    <t>Uređenje groblja-križ</t>
  </si>
  <si>
    <t>IZGRADNJA STAZA</t>
  </si>
  <si>
    <t xml:space="preserve">Program 03: Razvoj i upravljanje sustavom vodoopskrbe, </t>
  </si>
  <si>
    <t>odvodnje i zaštite voda</t>
  </si>
  <si>
    <t>Kapitalni projekt: 002030301: Izgradnja sekundarnog vodovoda</t>
  </si>
  <si>
    <t>odvodnje</t>
  </si>
  <si>
    <t>RASH. ZA NABAVU PROIZV. DUGOTR. IMOV.</t>
  </si>
  <si>
    <t xml:space="preserve">Izgradnja sekundarnog vodovoda </t>
  </si>
  <si>
    <t>Aglomeracija</t>
  </si>
  <si>
    <t>Program 04: Zaštita i uređenje okoliša</t>
  </si>
  <si>
    <t>Funkcijska klasifikacija: 05 - Zaštita okoliša</t>
  </si>
  <si>
    <t>Aktivnost: 002030401: Zaštita i uređenje okoliša</t>
  </si>
  <si>
    <t>Održavanje javnih površina( septičke, kontejneri)</t>
  </si>
  <si>
    <t xml:space="preserve">Ostali izdaci vezani uz zaštitu okoliša+IVANEC </t>
  </si>
  <si>
    <t>Komunalni redar</t>
  </si>
  <si>
    <t>Kapitalni projekt: 002030401: Sanacija odlagališta</t>
  </si>
  <si>
    <t>Usluge promidžbe i vidljivosti</t>
  </si>
  <si>
    <t>Usluge provedbe postupaka javne nabave</t>
  </si>
  <si>
    <t>MONITORING</t>
  </si>
  <si>
    <t>Usluge stručnog I PROJEKTANTSKOG nadzora</t>
  </si>
  <si>
    <t>Usluge upravljanja projektom</t>
  </si>
  <si>
    <t>Kapitalni projekt: 002030403: Nabava opreme za zaštitu okoliša</t>
  </si>
  <si>
    <t>Tekuće pomoći unutar općeg proračuna (kante)</t>
  </si>
  <si>
    <t>Nabava kosilica i opreme za komunalni pogon</t>
  </si>
  <si>
    <t>Nabava posuda za prikupljanje komunalnog otpada</t>
  </si>
  <si>
    <t>Kapitalni projekt: 002030404: Uređenje drvoreda</t>
  </si>
  <si>
    <t>VIŠEGODIŠNJI NASADI</t>
  </si>
  <si>
    <t>Drvored-Mirogojska</t>
  </si>
  <si>
    <t>Drvored - groblje</t>
  </si>
  <si>
    <t>Program 05: Veterinarska zaštita okoliša</t>
  </si>
  <si>
    <t>Aktivnost: 002030501: Veterinarske usluge</t>
  </si>
  <si>
    <t>Deratizacija, dezinsekcija, dezinfekcija</t>
  </si>
  <si>
    <t>Stručni nadzor nad provođenjem deratizacije</t>
  </si>
  <si>
    <t xml:space="preserve">Pregled mesa na trihinelozu </t>
  </si>
  <si>
    <t>SUF. STERILIZACIJE PASA</t>
  </si>
  <si>
    <t>Zbrinjavanje i čipiranje pasa</t>
  </si>
  <si>
    <t>Program 06: Izgr. i održav. ostale kom.infrastrukture</t>
  </si>
  <si>
    <t xml:space="preserve">Aktivnost: 002030601: Održavanje objekata komunalne </t>
  </si>
  <si>
    <t>infrastrukture</t>
  </si>
  <si>
    <t>Održavanje skele, godišnji pregled i registracija+ novi projekt</t>
  </si>
  <si>
    <t>Aktivnost: 002030602: Održavanje vage</t>
  </si>
  <si>
    <t>Izvor financiranja: 01 Opći prihodi i primici</t>
  </si>
  <si>
    <t>32     MATERIJALNI RASHODI</t>
  </si>
  <si>
    <t>323   RASHODI ZA USLUGE</t>
  </si>
  <si>
    <t xml:space="preserve">Ostale usluge tekućeg održavanja +BAŽDARENJE </t>
  </si>
  <si>
    <t>Program 07: Izgr. i održav. turističke infrastrukture</t>
  </si>
  <si>
    <t>Funkcijska klasifikacija: 08 - Rekreacija, kultura</t>
  </si>
  <si>
    <t>Aktivnost: 002030701: Izgradnja i održavanje turističke infrastrukture</t>
  </si>
  <si>
    <t>RASHODI ZA NABAVU PROIZV.DUGOTR.IMOVINE</t>
  </si>
  <si>
    <t>Izgradnja i održavanje turističke infrastrukture</t>
  </si>
  <si>
    <t xml:space="preserve">Kapitalni projekt: 001020601: Dodatna ulaganja na građevinskim </t>
  </si>
  <si>
    <t>objektima</t>
  </si>
  <si>
    <t>Izvor financiranja: 01 - Opći prhodi i primici</t>
  </si>
  <si>
    <t>RASHODI ZA DODATNA ULAGANJA NA NEFIN.IMOVINI</t>
  </si>
  <si>
    <t>DODATNA ULAGANJA NA GRAĐEVINSKIM OBJEKTIMA</t>
  </si>
  <si>
    <t>Rekonstrukcija Društvenog doma</t>
  </si>
  <si>
    <t xml:space="preserve">skupni projekti plan idućih godine </t>
  </si>
  <si>
    <t xml:space="preserve">Obnova vrtića +OKOLIŠ </t>
  </si>
  <si>
    <t>Obnova zgrade (stara ljekarna)</t>
  </si>
  <si>
    <t>Obnova domova</t>
  </si>
  <si>
    <t>Rashodi za usluge</t>
  </si>
  <si>
    <t>RASHODI ZA NABAVU PROIZV. DUGOTRANE IMOVINE</t>
  </si>
  <si>
    <t xml:space="preserve">Postrojenja i oprema </t>
  </si>
  <si>
    <t>GLAVA 00204: Odgoj i obrazovanje</t>
  </si>
  <si>
    <t>Program 01: Predškolski odgoj</t>
  </si>
  <si>
    <t>Funkcijska klasifikacija: 0911 - Predškolsko obrazovanje</t>
  </si>
  <si>
    <t>Aktivnost A002040101: Redovni rad Dječjeg vrtića "Košutica"</t>
  </si>
  <si>
    <t>Korisnik: Dječji vrtić "Košutica"</t>
  </si>
  <si>
    <t>Izvor financiranja: 05- Pomoći</t>
  </si>
  <si>
    <t>Bruto plaće za redovni rad</t>
  </si>
  <si>
    <t>Ostali rashodi za zaposlene (regres, božićnice,..)</t>
  </si>
  <si>
    <t>Naknade za prijevoz na posao i s posla</t>
  </si>
  <si>
    <t>Uredski materijal i ostali materijalni rashodi</t>
  </si>
  <si>
    <t>Materijal i sirovine</t>
  </si>
  <si>
    <t>MAT. TEK.ODRŽAVANJE OBJEKATA</t>
  </si>
  <si>
    <t>MAT. TEK. ODR.OPREME</t>
  </si>
  <si>
    <t>SITNI- IGRAČKE</t>
  </si>
  <si>
    <t>RADNA ODJEĆA I OBUĆA</t>
  </si>
  <si>
    <t>Usluge telefona ,pošte, prijevoza, HRT</t>
  </si>
  <si>
    <t>TELEFON</t>
  </si>
  <si>
    <t>PRIJEVOZ</t>
  </si>
  <si>
    <t>Komunalne usluge</t>
  </si>
  <si>
    <t>DERATIZACIJA</t>
  </si>
  <si>
    <t>DIMNJAČAR</t>
  </si>
  <si>
    <t>Zdravstvene usluge</t>
  </si>
  <si>
    <t>LABORATORIJSKE ANALIZE</t>
  </si>
  <si>
    <t>RAČUNALNE USLUGE</t>
  </si>
  <si>
    <t>Usluga izrade dokumentacije</t>
  </si>
  <si>
    <t xml:space="preserve">TISKARSKE </t>
  </si>
  <si>
    <t>Ugovori o djelu</t>
  </si>
  <si>
    <t>OSTALI NESPOMENUTI RASH. POSLOVANJA</t>
  </si>
  <si>
    <t>Naknade za rad Upravnog vijeća</t>
  </si>
  <si>
    <t>OSTALE PRISTOJBE</t>
  </si>
  <si>
    <t>RASHODI PROTOKOLA (VIJENCI, CVIJEĆE I SL)</t>
  </si>
  <si>
    <t>Ostali nespomenuti financijski rashodi</t>
  </si>
  <si>
    <t>RASHODI ZA NABAVU NEFINANCIJSKE IMOV.</t>
  </si>
  <si>
    <t>R. ZA NABAVU PROIZVEDENE DUGOTR. IM.</t>
  </si>
  <si>
    <t>Oprema i namještaj</t>
  </si>
  <si>
    <t>UREĐAJI</t>
  </si>
  <si>
    <t>Program 02: Osnovnoškolsko obrazovanje</t>
  </si>
  <si>
    <t>Funkcijska klasifikacija: 0912 - Osnovno obrazovanje</t>
  </si>
  <si>
    <t>Aktivnost A002040201: Unaprjeđenje nastave u Osnovnoj školi</t>
  </si>
  <si>
    <t>Izor financiranja: 01 - Opći prihodi i primici</t>
  </si>
  <si>
    <t>Poboljšanje standarda i školske aktivnosti OŠ Ferdinandovac</t>
  </si>
  <si>
    <t>Prometna edukacija djece i škola plivanja</t>
  </si>
  <si>
    <t>Program 03: Srednjoškolsko obrazovanje</t>
  </si>
  <si>
    <t>Funkcijska klasifikacija: 092 - Srednjoškolsko obrazovanje</t>
  </si>
  <si>
    <t>Aktivnost A002040202: Sufinanc.prijevoza učenika srednjih š.</t>
  </si>
  <si>
    <t>NAKNADE GRAĐANIMA I KUĆANSTVIMA</t>
  </si>
  <si>
    <t>Sufinanciranje prijevoza učenika</t>
  </si>
  <si>
    <t xml:space="preserve">750 NA GODINU </t>
  </si>
  <si>
    <t>Program 04: Visoka naobrazba</t>
  </si>
  <si>
    <t>Funkcijska klasifikacija: 094 - Visoka naobrazba</t>
  </si>
  <si>
    <t>Aktivnost A002040203: Studentske stipendije</t>
  </si>
  <si>
    <t>Stipendije studentima</t>
  </si>
  <si>
    <t>GLAVA 00205: ORGANIZACIJA I PROVOĐENJE ZAŠTITE I SPAŠAVANJA</t>
  </si>
  <si>
    <t>Program 01: Protupožarna zaštita</t>
  </si>
  <si>
    <t>Funkcijska klasifikacija: 032 - Protupožarna zaštita</t>
  </si>
  <si>
    <t>Aktivnost: 002050101: Sufinanciranje rada vatrogasnih društava, zajednica i postrojbi</t>
  </si>
  <si>
    <t>Pomoći gradskom proračunu-JVP</t>
  </si>
  <si>
    <t>DONACIJE I OSTALI RASHODI</t>
  </si>
  <si>
    <t>TEKUĆE DONACIJE - vatrogastvo</t>
  </si>
  <si>
    <t>VZ Općine Ferdinandovac</t>
  </si>
  <si>
    <t>DVD Ferdinandovac</t>
  </si>
  <si>
    <t>DVD BRODIĆ</t>
  </si>
  <si>
    <t>DVD LEPA GREDA</t>
  </si>
  <si>
    <t>Program 02: Civilna zaštita</t>
  </si>
  <si>
    <t>Funkcijska klasifikacija: 03 - Javni red i sigurnost</t>
  </si>
  <si>
    <t>Izvor financiranja: 11 - Opći prihodi i primici</t>
  </si>
  <si>
    <t>Aktivnost: 002050102: Sufinanciranje rada civilne zaštite i HGSS-a</t>
  </si>
  <si>
    <t>Donacija - Civilna zaštita</t>
  </si>
  <si>
    <t>Donacija - HGSS</t>
  </si>
  <si>
    <t>GLAVA 00206: REKREACIJA, KULTURA, RELIGIJA</t>
  </si>
  <si>
    <t>Program 01: Program javnih potreba u sportu</t>
  </si>
  <si>
    <t>Funkcijska klasifikacija: 08 - Rekreacija, kultura, religija</t>
  </si>
  <si>
    <t>Aktivnost 002060101: Sufinanciranje programa sportskih udruga</t>
  </si>
  <si>
    <t>TEKUĆE DONACIJE - sportske udruge</t>
  </si>
  <si>
    <t>Program 02: Program javnih potreba u kulturi</t>
  </si>
  <si>
    <t>Aktivnost A002060102: Sufinanciranje programa udruga u kulturi i tehničkoj kulturi</t>
  </si>
  <si>
    <t>Aktivnost 002060201: Sufinanc. udruga u kulturi i teh.kulturi</t>
  </si>
  <si>
    <t>TEKUĆE DONACIJE-kultura</t>
  </si>
  <si>
    <t>TEKUĆE DONACIJE - tehnička kultura</t>
  </si>
  <si>
    <t>Program 03: Prog.sufinanc. vjerskih udruga i zajednica</t>
  </si>
  <si>
    <t>Aktivnost A002060103: Sufinanciranje župe i programa vjerskih udruga</t>
  </si>
  <si>
    <t>Aktivnost A002060103: Sufinanc. župe i žup.ureda</t>
  </si>
  <si>
    <t>TEKUĆE DONACIJE-župa i vjerske udruge</t>
  </si>
  <si>
    <t>Župa sv. Ferdinanda</t>
  </si>
  <si>
    <t>Bratovština sv. Ferdinanda</t>
  </si>
  <si>
    <t>Aktivnost A002060104: Sufinanc. vjerskih udruga</t>
  </si>
  <si>
    <t>TEKUĆE DONACIJE-vjerske udruge</t>
  </si>
  <si>
    <t>GLAVA 00207: ZDRAVSTVO I SOCIJALNA SKRB</t>
  </si>
  <si>
    <t>Program 01: Pomoć obiteljima i kućanstvima</t>
  </si>
  <si>
    <t>Funkcijska klasifikacija: 10 - Socijalna zaštita</t>
  </si>
  <si>
    <t>Aktivnost A002070101: Pomoć obiteljima</t>
  </si>
  <si>
    <t>Sufinanciranje stanovanja</t>
  </si>
  <si>
    <t>Ostale naknade građanima i kućanstvima</t>
  </si>
  <si>
    <t>RUŠENJE STARIH OBJEKATA-KUĆA</t>
  </si>
  <si>
    <t xml:space="preserve">Pomoć umirovljenicima </t>
  </si>
  <si>
    <t>Sufinanciranje drva za ogrijev obiteljima</t>
  </si>
  <si>
    <t>Porodiljne naknade</t>
  </si>
  <si>
    <t>Pomoć mladim obiteljima-stambeno zbrinjavanje</t>
  </si>
  <si>
    <t>Sufinanciranje prehrane učenika OŠ</t>
  </si>
  <si>
    <t xml:space="preserve">Sufinanciranje odgoja i obrazovanja djece s </t>
  </si>
  <si>
    <t>posebnim potrebama te nadarene djece</t>
  </si>
  <si>
    <t>Sufinanciranje školske opreme (OŠ)</t>
  </si>
  <si>
    <t>Sufinanciranje priključaka (bušenje)</t>
  </si>
  <si>
    <t>Sufinanciranje poštanskih usluga</t>
  </si>
  <si>
    <t>OSTALE NAKNADE GRAĐANIMA I KUĆANST.</t>
  </si>
  <si>
    <t>Sufinanciranje gerontodomaćice - Mariška</t>
  </si>
  <si>
    <t>Aktivnost A002070102: Pokloni djeci za blagdane</t>
  </si>
  <si>
    <t>OSTALE NAKNADE GRAĐANIMA I KUĆANSTVIMA</t>
  </si>
  <si>
    <t>Pokloni djeci za blagdane</t>
  </si>
  <si>
    <t>i Pomoć je moć</t>
  </si>
  <si>
    <t>PLAĆE ZA REDOVAN RAD</t>
  </si>
  <si>
    <t>Plaće za zaposlene žene</t>
  </si>
  <si>
    <t>do 28.02. zaposlene</t>
  </si>
  <si>
    <t>Dio plaće koordinatora</t>
  </si>
  <si>
    <t>4687,50 minimalac</t>
  </si>
  <si>
    <t>Ostali rashodi za zaposlene</t>
  </si>
  <si>
    <t>Doprinosi za zdravstveno osiguranje koordinatora</t>
  </si>
  <si>
    <t>Troškovi prijevoza do korisnika</t>
  </si>
  <si>
    <t>Radna odjeća i obuća</t>
  </si>
  <si>
    <t xml:space="preserve">Izvor financiranja: 05- Pomoći </t>
  </si>
  <si>
    <t xml:space="preserve">do 01.09. zaposlene </t>
  </si>
  <si>
    <t>Plaće za za poslene žene</t>
  </si>
  <si>
    <t>Doprinos za zdravstveno osiguranje</t>
  </si>
  <si>
    <t xml:space="preserve">Naknade za prijevoz na posao i s posla </t>
  </si>
  <si>
    <t>Program 02: Humanitarna skrb kroz udruge građana</t>
  </si>
  <si>
    <t>Aktivnost A002070201:Sufinanciranje udruga i društava</t>
  </si>
  <si>
    <t>Tekuće donacije udrugama</t>
  </si>
  <si>
    <t>MLADI</t>
  </si>
  <si>
    <t>Sufinanciranje rada Crvenog križa</t>
  </si>
  <si>
    <t>Akcija Solidarnost na djelu</t>
  </si>
  <si>
    <t>Društvo multiple skleroze</t>
  </si>
  <si>
    <t>Funkcijska klasifikacija: 07 - Zdravstvo</t>
  </si>
  <si>
    <t>Aktivnost A002070202: Sufinanciranje zdravstvenih usluga</t>
  </si>
  <si>
    <t xml:space="preserve">75 BRUTO ZA 50 NETO KAO UGOVOR O DJELU </t>
  </si>
  <si>
    <t>Tekuće donacije - liječnik</t>
  </si>
  <si>
    <t>GLAVA 00208: Poticanje razvoja civilnog društva</t>
  </si>
  <si>
    <t>Program 01: Djelatnost udruga građana</t>
  </si>
  <si>
    <t>Aktivnost A002080101: Sufinanciranje projekata</t>
  </si>
  <si>
    <t xml:space="preserve">Pomoć iz FZOEU (sanacija odlagališta otpada) </t>
  </si>
  <si>
    <t>DP (MIN.GRAD)- UREĐENJE PARKA</t>
  </si>
  <si>
    <t xml:space="preserve">Kapit.pomoći- sufinanc. EU projekata (en.obnova,odl. otpada, </t>
  </si>
  <si>
    <t>Pomoć je moć-LEGRAD</t>
  </si>
  <si>
    <t>Brižne žene podravske-KALINOVAC</t>
  </si>
  <si>
    <t>Kapitalni projekt:002030207: Izgradnja fotonaponske elektrane dj.vrtić</t>
  </si>
  <si>
    <t xml:space="preserve">otpada </t>
  </si>
  <si>
    <t xml:space="preserve">Radovi na sanaciji odlagališta otpada </t>
  </si>
  <si>
    <t>Kapitalni projekt: 002070104 Brižne žene podravske faza II</t>
  </si>
  <si>
    <t>Kapitalni projekt 002070103 : Brižne žene podravske</t>
  </si>
  <si>
    <t xml:space="preserve">Kapitalne pomoći iz EU-odlagalište otpada </t>
  </si>
  <si>
    <t>KLASA: 400-06/21-01/01</t>
  </si>
  <si>
    <t>Prijedlog</t>
  </si>
  <si>
    <t xml:space="preserve">                          Na temelju članka 39., stavka 2. Zakona o proračunu ("Narodne novine" broj 87/08, 136/12. i 15/15) i članka 31. Statuta Općine Ferdinandovac </t>
  </si>
  <si>
    <t xml:space="preserve">("Službeni glasnik Koprivničko - križevačke županije" broj 6/13. i 1/18, 5/20. i 4/21 ), Općinsko vijeće Općine Ferdinandovac na ___. sjednici održanoj </t>
  </si>
  <si>
    <t>PRORAČUN OPĆINE FERDINANDOVAC ZA 2022. GODINU I PROJEKCIJE ZA 2023. I 2024. GODINU</t>
  </si>
  <si>
    <t>__________ 2021. donijelo je</t>
  </si>
  <si>
    <t xml:space="preserve">                         Članak 1.</t>
  </si>
  <si>
    <t xml:space="preserve">                             OPĆINSKO VIJEĆE OPĆINE FERDINANDOVAC</t>
  </si>
  <si>
    <t>URBROJ: 2137/15-01-21-</t>
  </si>
  <si>
    <t>Ferdinandovac,                          2021.</t>
  </si>
  <si>
    <t>PREDSJEDNIK:</t>
  </si>
  <si>
    <t>Branko Patačko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</si>
</sst>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" fontId="4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5" fillId="0" borderId="0" xfId="0" applyNumberFormat="1" applyFont="1"/>
    <xf numFmtId="4" fontId="0" fillId="0" borderId="0" xfId="0" applyNumberFormat="1"/>
    <xf numFmtId="2" fontId="1" fillId="0" borderId="0" xfId="0" applyNumberFormat="1" applyFont="1"/>
    <xf numFmtId="2" fontId="9" fillId="0" borderId="0" xfId="0" applyNumberFormat="1" applyFont="1"/>
    <xf numFmtId="4" fontId="5" fillId="0" borderId="0" xfId="0" applyNumberFormat="1" applyFont="1" applyAlignment="1">
      <alignment horizontal="center" vertical="center" wrapText="1" shrinkToFit="1"/>
    </xf>
    <xf numFmtId="2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4" fontId="9" fillId="0" borderId="0" xfId="0" applyNumberFormat="1" applyFont="1"/>
    <xf numFmtId="4" fontId="5" fillId="2" borderId="0" xfId="0" applyNumberFormat="1" applyFont="1" applyFill="1"/>
    <xf numFmtId="0" fontId="6" fillId="3" borderId="0" xfId="0" applyFont="1" applyFill="1"/>
    <xf numFmtId="4" fontId="8" fillId="3" borderId="0" xfId="0" applyNumberFormat="1" applyFont="1" applyFill="1"/>
    <xf numFmtId="0" fontId="8" fillId="3" borderId="0" xfId="0" applyFont="1" applyFill="1"/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4" borderId="0" xfId="0" applyFont="1" applyFill="1"/>
    <xf numFmtId="4" fontId="4" fillId="4" borderId="0" xfId="0" applyNumberFormat="1" applyFont="1" applyFill="1"/>
    <xf numFmtId="0" fontId="0" fillId="4" borderId="0" xfId="0" applyFill="1"/>
    <xf numFmtId="0" fontId="1" fillId="4" borderId="0" xfId="0" applyFont="1" applyFill="1"/>
    <xf numFmtId="4" fontId="4" fillId="5" borderId="0" xfId="0" applyNumberFormat="1" applyFont="1" applyFill="1"/>
    <xf numFmtId="4" fontId="1" fillId="5" borderId="0" xfId="0" applyNumberFormat="1" applyFont="1" applyFill="1"/>
    <xf numFmtId="0" fontId="3" fillId="6" borderId="0" xfId="0" applyFont="1" applyFill="1"/>
    <xf numFmtId="4" fontId="3" fillId="6" borderId="0" xfId="0" applyNumberFormat="1" applyFont="1" applyFill="1"/>
    <xf numFmtId="4" fontId="4" fillId="6" borderId="0" xfId="0" applyNumberFormat="1" applyFont="1" applyFill="1"/>
    <xf numFmtId="4" fontId="1" fillId="4" borderId="0" xfId="0" applyNumberFormat="1" applyFont="1" applyFill="1"/>
    <xf numFmtId="4" fontId="3" fillId="0" borderId="0" xfId="0" applyNumberFormat="1" applyFont="1"/>
    <xf numFmtId="4" fontId="1" fillId="0" borderId="0" xfId="0" applyNumberFormat="1" applyFont="1"/>
    <xf numFmtId="0" fontId="8" fillId="4" borderId="0" xfId="0" applyFont="1" applyFill="1"/>
    <xf numFmtId="0" fontId="1" fillId="5" borderId="0" xfId="0" applyFont="1" applyFill="1"/>
    <xf numFmtId="0" fontId="0" fillId="5" borderId="0" xfId="0" applyFill="1"/>
    <xf numFmtId="4" fontId="0" fillId="4" borderId="0" xfId="0" applyNumberFormat="1" applyFill="1"/>
    <xf numFmtId="0" fontId="0" fillId="6" borderId="0" xfId="0" applyFill="1"/>
    <xf numFmtId="0" fontId="11" fillId="0" borderId="0" xfId="0" applyFont="1"/>
    <xf numFmtId="0" fontId="12" fillId="7" borderId="0" xfId="0" applyFont="1" applyFill="1"/>
    <xf numFmtId="4" fontId="12" fillId="7" borderId="0" xfId="0" applyNumberFormat="1" applyFont="1" applyFill="1"/>
    <xf numFmtId="0" fontId="12" fillId="0" borderId="0" xfId="0" applyFont="1"/>
    <xf numFmtId="0" fontId="12" fillId="8" borderId="0" xfId="0" applyFont="1" applyFill="1"/>
    <xf numFmtId="4" fontId="12" fillId="8" borderId="0" xfId="0" applyNumberFormat="1" applyFont="1" applyFill="1"/>
    <xf numFmtId="4" fontId="5" fillId="8" borderId="0" xfId="0" applyNumberFormat="1" applyFont="1" applyFill="1"/>
    <xf numFmtId="4" fontId="0" fillId="8" borderId="0" xfId="0" applyNumberFormat="1" applyFill="1"/>
    <xf numFmtId="4" fontId="8" fillId="4" borderId="0" xfId="0" applyNumberFormat="1" applyFont="1" applyFill="1"/>
    <xf numFmtId="4" fontId="5" fillId="3" borderId="0" xfId="0" applyNumberFormat="1" applyFont="1" applyFill="1"/>
    <xf numFmtId="4" fontId="9" fillId="3" borderId="0" xfId="0" applyNumberFormat="1" applyFont="1" applyFill="1"/>
    <xf numFmtId="4" fontId="10" fillId="4" borderId="0" xfId="1" applyNumberFormat="1" applyFont="1" applyFill="1"/>
    <xf numFmtId="4" fontId="9" fillId="4" borderId="0" xfId="1" applyNumberFormat="1" applyFont="1" applyFill="1"/>
    <xf numFmtId="0" fontId="13" fillId="4" borderId="0" xfId="1" applyFont="1" applyFill="1"/>
    <xf numFmtId="0" fontId="3" fillId="0" borderId="0" xfId="0" applyFont="1" applyAlignment="1">
      <alignment horizontal="center"/>
    </xf>
    <xf numFmtId="0" fontId="5" fillId="9" borderId="0" xfId="0" applyFont="1" applyFill="1"/>
    <xf numFmtId="4" fontId="5" fillId="9" borderId="0" xfId="0" applyNumberFormat="1" applyFont="1" applyFill="1"/>
    <xf numFmtId="0" fontId="3" fillId="10" borderId="0" xfId="0" applyFont="1" applyFill="1"/>
    <xf numFmtId="4" fontId="4" fillId="10" borderId="0" xfId="0" applyNumberFormat="1" applyFont="1" applyFill="1"/>
    <xf numFmtId="0" fontId="3" fillId="11" borderId="0" xfId="0" applyFont="1" applyFill="1"/>
    <xf numFmtId="4" fontId="4" fillId="11" borderId="0" xfId="0" applyNumberFormat="1" applyFont="1" applyFill="1"/>
    <xf numFmtId="0" fontId="3" fillId="3" borderId="0" xfId="0" applyFont="1" applyFill="1"/>
    <xf numFmtId="4" fontId="0" fillId="3" borderId="0" xfId="0" applyNumberFormat="1" applyFill="1"/>
    <xf numFmtId="0" fontId="10" fillId="12" borderId="0" xfId="0" applyFont="1" applyFill="1"/>
    <xf numFmtId="0" fontId="1" fillId="12" borderId="0" xfId="0" applyFont="1" applyFill="1"/>
    <xf numFmtId="4" fontId="1" fillId="12" borderId="0" xfId="0" applyNumberFormat="1" applyFont="1" applyFill="1"/>
    <xf numFmtId="0" fontId="3" fillId="13" borderId="0" xfId="0" applyFont="1" applyFill="1"/>
    <xf numFmtId="0" fontId="0" fillId="13" borderId="0" xfId="0" applyFill="1"/>
    <xf numFmtId="4" fontId="4" fillId="13" borderId="0" xfId="0" applyNumberFormat="1" applyFont="1" applyFill="1"/>
    <xf numFmtId="4" fontId="1" fillId="12" borderId="0" xfId="0" applyNumberFormat="1" applyFont="1" applyFill="1" applyAlignment="1">
      <alignment horizontal="right"/>
    </xf>
    <xf numFmtId="4" fontId="1" fillId="12" borderId="0" xfId="0" applyNumberFormat="1" applyFont="1" applyFill="1" applyAlignment="1">
      <alignment horizontal="left"/>
    </xf>
    <xf numFmtId="4" fontId="10" fillId="0" borderId="0" xfId="0" applyNumberFormat="1" applyFont="1"/>
    <xf numFmtId="4" fontId="10" fillId="4" borderId="0" xfId="0" applyNumberFormat="1" applyFont="1" applyFill="1"/>
    <xf numFmtId="0" fontId="10" fillId="4" borderId="0" xfId="0" applyFont="1" applyFill="1"/>
    <xf numFmtId="4" fontId="3" fillId="13" borderId="0" xfId="0" applyNumberFormat="1" applyFont="1" applyFill="1"/>
    <xf numFmtId="4" fontId="3" fillId="14" borderId="0" xfId="0" applyNumberFormat="1" applyFont="1" applyFill="1"/>
    <xf numFmtId="4" fontId="4" fillId="14" borderId="0" xfId="0" applyNumberFormat="1" applyFont="1" applyFill="1"/>
    <xf numFmtId="4" fontId="10" fillId="12" borderId="0" xfId="0" applyNumberFormat="1" applyFont="1" applyFill="1"/>
    <xf numFmtId="4" fontId="0" fillId="12" borderId="0" xfId="0" applyNumberFormat="1" applyFill="1"/>
    <xf numFmtId="0" fontId="10" fillId="4" borderId="0" xfId="0" applyFont="1" applyFill="1" applyAlignment="1">
      <alignment horizontal="left"/>
    </xf>
    <xf numFmtId="4" fontId="3" fillId="11" borderId="0" xfId="0" applyNumberFormat="1" applyFont="1" applyFill="1"/>
    <xf numFmtId="4" fontId="4" fillId="3" borderId="0" xfId="0" applyNumberFormat="1" applyFont="1" applyFill="1"/>
    <xf numFmtId="4" fontId="3" fillId="12" borderId="0" xfId="0" applyNumberFormat="1" applyFont="1" applyFill="1"/>
    <xf numFmtId="4" fontId="4" fillId="12" borderId="0" xfId="0" applyNumberFormat="1" applyFont="1" applyFill="1"/>
    <xf numFmtId="4" fontId="13" fillId="9" borderId="0" xfId="0" applyNumberFormat="1" applyFont="1" applyFill="1"/>
    <xf numFmtId="4" fontId="0" fillId="13" borderId="0" xfId="0" applyNumberFormat="1" applyFill="1"/>
    <xf numFmtId="4" fontId="0" fillId="14" borderId="0" xfId="0" applyNumberFormat="1" applyFill="1"/>
    <xf numFmtId="0" fontId="4" fillId="4" borderId="0" xfId="0" applyFont="1" applyFill="1"/>
    <xf numFmtId="0" fontId="3" fillId="14" borderId="0" xfId="0" applyFont="1" applyFill="1"/>
    <xf numFmtId="4" fontId="0" fillId="11" borderId="0" xfId="0" applyNumberFormat="1" applyFill="1"/>
    <xf numFmtId="4" fontId="3" fillId="10" borderId="0" xfId="0" applyNumberFormat="1" applyFont="1" applyFill="1"/>
    <xf numFmtId="4" fontId="10" fillId="3" borderId="0" xfId="0" applyNumberFormat="1" applyFont="1" applyFill="1"/>
    <xf numFmtId="4" fontId="10" fillId="13" borderId="0" xfId="0" applyNumberFormat="1" applyFont="1" applyFill="1"/>
    <xf numFmtId="4" fontId="10" fillId="14" borderId="0" xfId="0" applyNumberFormat="1" applyFont="1" applyFill="1"/>
    <xf numFmtId="4" fontId="3" fillId="3" borderId="0" xfId="0" applyNumberFormat="1" applyFont="1" applyFill="1"/>
    <xf numFmtId="4" fontId="10" fillId="10" borderId="0" xfId="0" applyNumberFormat="1" applyFont="1" applyFill="1"/>
    <xf numFmtId="4" fontId="0" fillId="10" borderId="0" xfId="0" applyNumberFormat="1" applyFill="1"/>
    <xf numFmtId="4" fontId="1" fillId="14" borderId="0" xfId="0" applyNumberFormat="1" applyFont="1" applyFill="1"/>
    <xf numFmtId="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4" borderId="0" xfId="0" applyNumberFormat="1" applyFont="1" applyFill="1" applyAlignment="1">
      <alignment horizontal="right"/>
    </xf>
    <xf numFmtId="0" fontId="5" fillId="4" borderId="0" xfId="0" applyFont="1" applyFill="1"/>
    <xf numFmtId="4" fontId="4" fillId="0" borderId="0" xfId="0" applyNumberFormat="1" applyFont="1" applyAlignment="1">
      <alignment horizontal="right"/>
    </xf>
    <xf numFmtId="4" fontId="4" fillId="14" borderId="0" xfId="0" applyNumberFormat="1" applyFont="1" applyFill="1" applyAlignment="1">
      <alignment horizontal="right"/>
    </xf>
    <xf numFmtId="4" fontId="9" fillId="12" borderId="0" xfId="0" applyNumberFormat="1" applyFont="1" applyFill="1"/>
    <xf numFmtId="4" fontId="9" fillId="4" borderId="0" xfId="0" applyNumberFormat="1" applyFont="1" applyFill="1"/>
    <xf numFmtId="0" fontId="9" fillId="4" borderId="0" xfId="0" applyFont="1" applyFill="1"/>
    <xf numFmtId="4" fontId="1" fillId="3" borderId="0" xfId="0" applyNumberFormat="1" applyFont="1" applyFill="1"/>
    <xf numFmtId="4" fontId="10" fillId="11" borderId="0" xfId="0" applyNumberFormat="1" applyFont="1" applyFill="1"/>
    <xf numFmtId="4" fontId="1" fillId="11" borderId="0" xfId="0" applyNumberFormat="1" applyFont="1" applyFill="1"/>
    <xf numFmtId="4" fontId="3" fillId="4" borderId="0" xfId="0" applyNumberFormat="1" applyFont="1" applyFill="1"/>
    <xf numFmtId="0" fontId="1" fillId="13" borderId="0" xfId="0" applyFont="1" applyFill="1"/>
    <xf numFmtId="4" fontId="1" fillId="13" borderId="0" xfId="0" applyNumberFormat="1" applyFont="1" applyFill="1"/>
    <xf numFmtId="0" fontId="3" fillId="15" borderId="0" xfId="0" applyFont="1" applyFill="1"/>
    <xf numFmtId="0" fontId="0" fillId="15" borderId="0" xfId="0" applyFill="1"/>
    <xf numFmtId="4" fontId="0" fillId="15" borderId="0" xfId="0" applyNumberFormat="1" applyFill="1"/>
    <xf numFmtId="4" fontId="1" fillId="15" borderId="0" xfId="0" applyNumberFormat="1" applyFont="1" applyFill="1"/>
    <xf numFmtId="0" fontId="3" fillId="16" borderId="0" xfId="0" applyFont="1" applyFill="1"/>
    <xf numFmtId="0" fontId="0" fillId="16" borderId="0" xfId="0" applyFill="1"/>
    <xf numFmtId="4" fontId="11" fillId="0" borderId="0" xfId="0" applyNumberFormat="1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12" fillId="3" borderId="0" xfId="0" applyFont="1" applyFill="1" applyAlignment="1">
      <alignment horizontal="left" shrinkToFit="1"/>
    </xf>
    <xf numFmtId="0" fontId="5" fillId="0" borderId="0" xfId="0" applyFont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shrinkToFit="1"/>
    </xf>
    <xf numFmtId="0" fontId="5" fillId="2" borderId="0" xfId="0" applyFont="1" applyFill="1"/>
    <xf numFmtId="0" fontId="4" fillId="0" borderId="0" xfId="0" applyFont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1" fillId="0" borderId="0" xfId="0" applyFont="1" applyFill="1"/>
    <xf numFmtId="0" fontId="15" fillId="0" borderId="0" xfId="0" applyFont="1" applyFill="1"/>
    <xf numFmtId="4" fontId="15" fillId="0" borderId="0" xfId="0" applyNumberFormat="1" applyFont="1" applyFill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12" borderId="0" xfId="0" applyFont="1" applyFill="1" applyAlignment="1">
      <alignment horizontal="left"/>
    </xf>
    <xf numFmtId="0" fontId="4" fillId="14" borderId="0" xfId="0" applyFont="1" applyFill="1" applyAlignment="1">
      <alignment horizontal="left"/>
    </xf>
    <xf numFmtId="0" fontId="1" fillId="12" borderId="0" xfId="0" applyFont="1" applyFill="1" applyAlignment="1">
      <alignment horizontal="left"/>
    </xf>
    <xf numFmtId="0" fontId="0" fillId="12" borderId="0" xfId="0" applyFill="1" applyAlignment="1">
      <alignment horizontal="left"/>
    </xf>
    <xf numFmtId="0" fontId="1" fillId="5" borderId="0" xfId="0" applyFont="1" applyFill="1" applyAlignment="1">
      <alignment horizontal="left"/>
    </xf>
    <xf numFmtId="0" fontId="3" fillId="13" borderId="0" xfId="0" applyFont="1" applyFill="1" applyAlignment="1">
      <alignment horizontal="left" shrinkToFit="1"/>
    </xf>
    <xf numFmtId="0" fontId="0" fillId="0" borderId="0" xfId="0" applyAlignment="1">
      <alignment horizontal="left"/>
    </xf>
    <xf numFmtId="0" fontId="3" fillId="12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13" borderId="0" xfId="0" applyFont="1" applyFill="1" applyAlignment="1">
      <alignment horizontal="left" shrinkToFit="1"/>
    </xf>
    <xf numFmtId="0" fontId="4" fillId="4" borderId="0" xfId="0" applyFont="1" applyFill="1" applyAlignment="1">
      <alignment horizontal="left" shrinkToFit="1"/>
    </xf>
    <xf numFmtId="0" fontId="1" fillId="4" borderId="0" xfId="0" applyFont="1" applyFill="1" applyAlignment="1">
      <alignment horizontal="left"/>
    </xf>
    <xf numFmtId="0" fontId="4" fillId="0" borderId="0" xfId="0" applyFont="1" applyAlignment="1">
      <alignment horizontal="left" shrinkToFit="1"/>
    </xf>
    <xf numFmtId="0" fontId="4" fillId="14" borderId="0" xfId="0" applyFont="1" applyFill="1" applyAlignment="1">
      <alignment horizontal="left" wrapText="1"/>
    </xf>
    <xf numFmtId="0" fontId="4" fillId="14" borderId="0" xfId="0" applyFont="1" applyFill="1" applyAlignment="1">
      <alignment horizontal="left" shrinkToFit="1"/>
    </xf>
    <xf numFmtId="0" fontId="3" fillId="14" borderId="0" xfId="0" applyFont="1" applyFill="1" applyAlignment="1">
      <alignment horizontal="left" shrinkToFit="1"/>
    </xf>
    <xf numFmtId="0" fontId="14" fillId="14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5" borderId="0" xfId="0" applyFont="1" applyFill="1" applyAlignment="1">
      <alignment horizontal="left"/>
    </xf>
    <xf numFmtId="0" fontId="1" fillId="0" borderId="0" xfId="0" applyFont="1" applyAlignment="1">
      <alignment horizontal="left" shrinkToFit="1"/>
    </xf>
    <xf numFmtId="0" fontId="12" fillId="0" borderId="0" xfId="0" applyFont="1" applyAlignment="1">
      <alignment horizontal="left"/>
    </xf>
    <xf numFmtId="0" fontId="12" fillId="3" borderId="0" xfId="0" applyFont="1" applyFill="1" applyAlignment="1">
      <alignment horizontal="left" shrinkToFit="1"/>
    </xf>
    <xf numFmtId="0" fontId="1" fillId="2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9" fillId="0" borderId="0" xfId="0" applyFont="1"/>
    <xf numFmtId="0" fontId="5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10" fillId="0" borderId="0" xfId="0" applyFont="1"/>
    <xf numFmtId="0" fontId="5" fillId="2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10" fillId="0" borderId="0" xfId="0" applyFont="1" applyAlignment="1">
      <alignment shrinkToFit="1"/>
    </xf>
    <xf numFmtId="0" fontId="16" fillId="0" borderId="0" xfId="0" applyFont="1"/>
    <xf numFmtId="0" fontId="0" fillId="0" borderId="0" xfId="0" applyAlignment="1">
      <alignment horizontal="center"/>
    </xf>
  </cellXfs>
  <cellStyles count="2">
    <cellStyle name="Normalno" xfId="0" builtinId="0"/>
    <cellStyle name="Normaln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3"/>
  <sheetViews>
    <sheetView tabSelected="1" workbookViewId="0">
      <selection activeCell="H890" sqref="H890"/>
    </sheetView>
  </sheetViews>
  <sheetFormatPr defaultRowHeight="14.4" x14ac:dyDescent="0.3"/>
  <cols>
    <col min="1" max="1" width="4.88671875" customWidth="1"/>
    <col min="2" max="2" width="6.109375" customWidth="1"/>
    <col min="5" max="5" width="29.109375" customWidth="1"/>
    <col min="6" max="6" width="22.109375" style="10" customWidth="1"/>
    <col min="7" max="7" width="24.33203125" style="10" hidden="1" customWidth="1"/>
    <col min="8" max="8" width="26.33203125" style="10" customWidth="1"/>
    <col min="9" max="9" width="17.109375" customWidth="1"/>
    <col min="10" max="10" width="16.44140625" customWidth="1"/>
    <col min="11" max="11" width="16.33203125" hidden="1" customWidth="1"/>
    <col min="12" max="12" width="18.88671875" hidden="1" customWidth="1"/>
    <col min="13" max="13" width="17.5546875" hidden="1" customWidth="1"/>
    <col min="14" max="14" width="17.44140625" hidden="1" customWidth="1"/>
    <col min="15" max="15" width="8.88671875" hidden="1" customWidth="1"/>
  </cols>
  <sheetData>
    <row r="1" spans="1:15" x14ac:dyDescent="0.3">
      <c r="I1" s="176" t="s">
        <v>538</v>
      </c>
    </row>
    <row r="2" spans="1:15" x14ac:dyDescent="0.3">
      <c r="I2" s="176"/>
    </row>
    <row r="3" spans="1:15" x14ac:dyDescent="0.3">
      <c r="A3" s="141" t="s">
        <v>539</v>
      </c>
      <c r="B3" s="141"/>
      <c r="C3" s="141"/>
      <c r="D3" s="141"/>
      <c r="E3" s="141"/>
      <c r="F3" s="141"/>
      <c r="G3" s="141"/>
      <c r="H3" s="141"/>
      <c r="I3" s="148"/>
      <c r="J3" s="148"/>
      <c r="K3" s="148"/>
      <c r="L3" s="148"/>
      <c r="M3" s="148"/>
      <c r="N3" s="148"/>
      <c r="O3" s="148"/>
    </row>
    <row r="4" spans="1:15" x14ac:dyDescent="0.3">
      <c r="A4" s="1" t="s">
        <v>540</v>
      </c>
      <c r="F4"/>
      <c r="G4"/>
      <c r="H4"/>
    </row>
    <row r="5" spans="1:15" x14ac:dyDescent="0.3">
      <c r="A5" t="s">
        <v>542</v>
      </c>
      <c r="F5"/>
      <c r="G5"/>
      <c r="H5"/>
    </row>
    <row r="6" spans="1:15" x14ac:dyDescent="0.3">
      <c r="F6"/>
      <c r="G6"/>
      <c r="H6"/>
    </row>
    <row r="7" spans="1:15" x14ac:dyDescent="0.3">
      <c r="A7" s="172" t="s">
        <v>541</v>
      </c>
      <c r="B7" s="172"/>
      <c r="C7" s="172"/>
      <c r="D7" s="172"/>
      <c r="E7" s="172"/>
      <c r="F7" s="172"/>
      <c r="G7" s="172"/>
      <c r="H7" s="172"/>
      <c r="I7" s="172"/>
      <c r="J7" s="172"/>
    </row>
    <row r="8" spans="1:15" ht="5.4" customHeight="1" x14ac:dyDescent="0.3">
      <c r="A8" s="177"/>
      <c r="B8" s="177"/>
      <c r="C8" s="177"/>
      <c r="D8" s="177"/>
      <c r="E8" s="177"/>
      <c r="F8" s="177"/>
      <c r="G8" s="177"/>
      <c r="H8" s="177"/>
      <c r="I8" s="177"/>
      <c r="J8" s="177"/>
    </row>
    <row r="9" spans="1:15" hidden="1" x14ac:dyDescent="0.3">
      <c r="A9" s="177"/>
      <c r="B9" s="177"/>
      <c r="C9" s="177"/>
      <c r="D9" s="177"/>
      <c r="E9" s="177"/>
      <c r="F9" s="177"/>
      <c r="G9" s="177"/>
      <c r="H9" s="177"/>
      <c r="I9" s="177"/>
      <c r="J9" s="177"/>
    </row>
    <row r="10" spans="1:15" hidden="1" x14ac:dyDescent="0.3">
      <c r="F10"/>
      <c r="G10"/>
      <c r="H10"/>
    </row>
    <row r="11" spans="1:15" hidden="1" x14ac:dyDescent="0.3">
      <c r="A11" s="2" t="s">
        <v>0</v>
      </c>
      <c r="B11" s="2"/>
      <c r="C11" s="2"/>
      <c r="D11" s="2"/>
      <c r="E11" s="2"/>
      <c r="F11" s="2"/>
      <c r="G11" s="2"/>
      <c r="H11" s="2"/>
    </row>
    <row r="12" spans="1:15" hidden="1" x14ac:dyDescent="0.3">
      <c r="A12" s="3"/>
      <c r="B12" s="3"/>
      <c r="C12" s="3"/>
      <c r="D12" s="3"/>
      <c r="E12" s="3"/>
      <c r="F12" s="3"/>
      <c r="G12" s="3"/>
      <c r="H12" s="3"/>
    </row>
    <row r="13" spans="1:15" hidden="1" x14ac:dyDescent="0.3">
      <c r="A13" s="3"/>
      <c r="B13" s="3"/>
      <c r="C13" s="3"/>
      <c r="D13" s="3"/>
      <c r="E13" s="3"/>
      <c r="F13" s="3"/>
      <c r="G13" s="3"/>
      <c r="H13" s="3"/>
    </row>
    <row r="14" spans="1:15" hidden="1" x14ac:dyDescent="0.3">
      <c r="A14" s="3"/>
      <c r="B14" s="3"/>
      <c r="C14" s="3"/>
      <c r="D14" s="3"/>
      <c r="E14" s="3"/>
      <c r="F14" s="3"/>
      <c r="G14" s="3"/>
      <c r="H14" s="3"/>
    </row>
    <row r="15" spans="1:15" hidden="1" x14ac:dyDescent="0.3">
      <c r="A15" s="1" t="s">
        <v>1</v>
      </c>
      <c r="B15" s="1"/>
      <c r="C15" s="1"/>
      <c r="D15" s="1"/>
      <c r="E15" s="1"/>
      <c r="F15"/>
      <c r="G15"/>
      <c r="H15"/>
    </row>
    <row r="16" spans="1:15" hidden="1" x14ac:dyDescent="0.3">
      <c r="A16" s="1"/>
      <c r="F16"/>
      <c r="G16"/>
      <c r="H16"/>
    </row>
    <row r="17" spans="1:8" hidden="1" x14ac:dyDescent="0.3">
      <c r="A17" s="1"/>
      <c r="F17"/>
      <c r="G17"/>
      <c r="H17"/>
    </row>
    <row r="18" spans="1:8" ht="15.6" hidden="1" x14ac:dyDescent="0.3">
      <c r="F18" s="129"/>
      <c r="G18" s="129" t="s">
        <v>2</v>
      </c>
      <c r="H18" s="129"/>
    </row>
    <row r="19" spans="1:8" ht="15.6" hidden="1" x14ac:dyDescent="0.3">
      <c r="A19" s="129" t="s">
        <v>3</v>
      </c>
      <c r="B19" s="129" t="s">
        <v>4</v>
      </c>
      <c r="C19" s="129"/>
      <c r="D19" s="129"/>
      <c r="E19" s="129"/>
      <c r="F19" s="4"/>
      <c r="G19" s="129"/>
      <c r="H19" s="129"/>
    </row>
    <row r="20" spans="1:8" ht="15.6" hidden="1" x14ac:dyDescent="0.3">
      <c r="F20" s="4"/>
      <c r="G20"/>
      <c r="H20"/>
    </row>
    <row r="21" spans="1:8" hidden="1" x14ac:dyDescent="0.3">
      <c r="A21" s="1"/>
      <c r="B21" s="3">
        <v>6</v>
      </c>
      <c r="C21" s="3" t="s">
        <v>5</v>
      </c>
      <c r="D21" s="3"/>
      <c r="E21" s="3"/>
      <c r="F21" s="5"/>
      <c r="G21" s="6"/>
      <c r="H21" s="6"/>
    </row>
    <row r="22" spans="1:8" hidden="1" x14ac:dyDescent="0.3">
      <c r="A22" s="1"/>
      <c r="B22" s="3">
        <v>7</v>
      </c>
      <c r="C22" s="3" t="s">
        <v>6</v>
      </c>
      <c r="D22" s="3"/>
      <c r="E22" s="3"/>
      <c r="F22" s="5"/>
      <c r="G22" s="6"/>
      <c r="H22" s="6"/>
    </row>
    <row r="23" spans="1:8" hidden="1" x14ac:dyDescent="0.3">
      <c r="A23" s="1"/>
      <c r="B23" s="3"/>
      <c r="C23" s="3" t="s">
        <v>7</v>
      </c>
      <c r="D23" s="3"/>
      <c r="E23" s="3"/>
      <c r="F23" s="5"/>
      <c r="G23" s="6"/>
      <c r="H23" s="6"/>
    </row>
    <row r="24" spans="1:8" hidden="1" x14ac:dyDescent="0.3">
      <c r="A24" s="1"/>
      <c r="B24" s="3">
        <v>3</v>
      </c>
      <c r="C24" s="3" t="s">
        <v>8</v>
      </c>
      <c r="D24" s="3"/>
      <c r="E24" s="3"/>
      <c r="F24" s="5"/>
      <c r="G24" s="6"/>
      <c r="H24" s="6"/>
    </row>
    <row r="25" spans="1:8" hidden="1" x14ac:dyDescent="0.3">
      <c r="A25" s="1"/>
      <c r="B25" s="3">
        <v>4</v>
      </c>
      <c r="C25" s="3" t="s">
        <v>9</v>
      </c>
      <c r="D25" s="3"/>
      <c r="E25" s="3"/>
      <c r="F25" s="5"/>
      <c r="G25" s="6"/>
      <c r="H25" s="6"/>
    </row>
    <row r="26" spans="1:8" hidden="1" x14ac:dyDescent="0.3">
      <c r="A26" s="1"/>
      <c r="B26" s="3"/>
      <c r="C26" s="3" t="s">
        <v>7</v>
      </c>
      <c r="D26" s="3"/>
      <c r="E26" s="3"/>
      <c r="F26" s="5"/>
      <c r="G26" s="6"/>
      <c r="H26" s="6"/>
    </row>
    <row r="27" spans="1:8" hidden="1" x14ac:dyDescent="0.3">
      <c r="A27" s="1"/>
      <c r="B27" s="3"/>
      <c r="C27" s="3"/>
      <c r="D27" s="3"/>
      <c r="E27" s="3"/>
      <c r="F27" s="3"/>
      <c r="G27" s="6"/>
      <c r="H27" s="6"/>
    </row>
    <row r="28" spans="1:8" hidden="1" x14ac:dyDescent="0.3">
      <c r="A28" s="1"/>
      <c r="B28" s="3"/>
      <c r="C28" s="3" t="s">
        <v>10</v>
      </c>
      <c r="D28" s="3"/>
      <c r="E28" s="3"/>
      <c r="F28" s="5"/>
      <c r="G28" s="6"/>
      <c r="H28" s="6"/>
    </row>
    <row r="29" spans="1:8" hidden="1" x14ac:dyDescent="0.3">
      <c r="A29" s="1"/>
      <c r="B29" s="3"/>
      <c r="C29" s="3"/>
      <c r="D29" s="3"/>
      <c r="E29" s="3"/>
      <c r="F29" s="3"/>
      <c r="G29" s="6"/>
      <c r="H29" s="6"/>
    </row>
    <row r="30" spans="1:8" ht="15.6" hidden="1" x14ac:dyDescent="0.3">
      <c r="A30" s="129" t="s">
        <v>11</v>
      </c>
      <c r="B30" s="129" t="s">
        <v>12</v>
      </c>
      <c r="C30" s="129"/>
      <c r="D30" s="129"/>
      <c r="E30" s="129"/>
      <c r="F30" s="129"/>
      <c r="G30" s="7"/>
      <c r="H30" s="7"/>
    </row>
    <row r="31" spans="1:8" hidden="1" x14ac:dyDescent="0.3">
      <c r="A31" s="1"/>
      <c r="B31" s="3"/>
      <c r="C31" s="3"/>
      <c r="D31" s="3"/>
      <c r="E31" s="3"/>
      <c r="F31" s="3"/>
      <c r="G31" s="6"/>
      <c r="H31" s="6"/>
    </row>
    <row r="32" spans="1:8" hidden="1" x14ac:dyDescent="0.3">
      <c r="A32" s="1"/>
      <c r="B32" s="3">
        <v>8</v>
      </c>
      <c r="C32" s="3" t="s">
        <v>13</v>
      </c>
      <c r="D32" s="3"/>
      <c r="E32" s="3"/>
      <c r="F32" s="5"/>
      <c r="G32" s="6"/>
      <c r="H32" s="6"/>
    </row>
    <row r="33" spans="1:8" hidden="1" x14ac:dyDescent="0.3">
      <c r="A33" s="1"/>
      <c r="B33" s="3"/>
      <c r="C33" s="3" t="s">
        <v>14</v>
      </c>
      <c r="D33" s="3"/>
      <c r="E33" s="3"/>
      <c r="F33" s="5"/>
      <c r="G33" s="6"/>
      <c r="H33" s="6"/>
    </row>
    <row r="34" spans="1:8" hidden="1" x14ac:dyDescent="0.3">
      <c r="A34" s="1"/>
      <c r="B34" s="3">
        <v>5</v>
      </c>
      <c r="C34" s="3" t="s">
        <v>15</v>
      </c>
      <c r="D34" s="3"/>
      <c r="E34" s="3"/>
      <c r="F34" s="5"/>
      <c r="G34" s="6"/>
      <c r="H34" s="6"/>
    </row>
    <row r="35" spans="1:8" hidden="1" x14ac:dyDescent="0.3">
      <c r="A35" s="1"/>
      <c r="B35" s="3"/>
      <c r="C35" s="3"/>
      <c r="D35" s="3"/>
      <c r="E35" s="3"/>
      <c r="F35" s="3"/>
      <c r="G35" s="6"/>
      <c r="H35" s="6"/>
    </row>
    <row r="36" spans="1:8" hidden="1" x14ac:dyDescent="0.3">
      <c r="A36" s="1"/>
      <c r="B36" s="3"/>
      <c r="C36" s="3" t="s">
        <v>16</v>
      </c>
      <c r="D36" s="3"/>
      <c r="E36" s="3"/>
      <c r="F36" s="5"/>
      <c r="G36" s="6"/>
      <c r="H36" s="6"/>
    </row>
    <row r="37" spans="1:8" hidden="1" x14ac:dyDescent="0.3">
      <c r="A37" s="1"/>
      <c r="B37" s="3"/>
      <c r="C37" s="3"/>
      <c r="D37" s="3"/>
      <c r="E37" s="3"/>
      <c r="F37" s="3"/>
      <c r="G37" s="6"/>
      <c r="H37" s="6"/>
    </row>
    <row r="38" spans="1:8" ht="15.6" hidden="1" x14ac:dyDescent="0.3">
      <c r="A38" s="129" t="s">
        <v>17</v>
      </c>
      <c r="B38" s="129" t="s">
        <v>18</v>
      </c>
      <c r="C38" s="129"/>
      <c r="D38" s="129"/>
      <c r="E38" s="129"/>
      <c r="F38" s="129"/>
      <c r="G38" s="7"/>
      <c r="H38" s="7"/>
    </row>
    <row r="39" spans="1:8" hidden="1" x14ac:dyDescent="0.3">
      <c r="A39" s="1"/>
      <c r="B39" s="3"/>
      <c r="C39" s="3"/>
      <c r="D39" s="3"/>
      <c r="E39" s="3"/>
      <c r="F39" s="3"/>
      <c r="G39" s="6"/>
      <c r="H39" s="6"/>
    </row>
    <row r="40" spans="1:8" hidden="1" x14ac:dyDescent="0.3">
      <c r="A40" s="1"/>
      <c r="B40" s="3" t="s">
        <v>19</v>
      </c>
      <c r="C40" s="3"/>
      <c r="D40" s="3"/>
      <c r="E40" s="3"/>
      <c r="F40" s="5"/>
      <c r="G40" s="6"/>
      <c r="H40" s="6"/>
    </row>
    <row r="41" spans="1:8" hidden="1" x14ac:dyDescent="0.3">
      <c r="A41" s="3"/>
      <c r="B41" s="3" t="s">
        <v>20</v>
      </c>
      <c r="C41" s="3"/>
      <c r="D41" s="3"/>
      <c r="E41" s="3"/>
      <c r="F41" s="6"/>
      <c r="G41" s="6"/>
      <c r="H41" s="6"/>
    </row>
    <row r="42" spans="1:8" hidden="1" x14ac:dyDescent="0.3">
      <c r="A42" s="1"/>
      <c r="B42" s="3" t="s">
        <v>21</v>
      </c>
      <c r="C42" s="1"/>
      <c r="D42" s="1"/>
      <c r="E42" s="1"/>
      <c r="F42" s="8"/>
      <c r="G42" s="8"/>
      <c r="H42" s="8"/>
    </row>
    <row r="43" spans="1:8" hidden="1" x14ac:dyDescent="0.3">
      <c r="A43" s="1"/>
      <c r="B43" s="3" t="s">
        <v>22</v>
      </c>
      <c r="C43" s="1"/>
      <c r="D43" s="1"/>
      <c r="E43" s="1"/>
      <c r="F43" s="5"/>
      <c r="G43" s="1"/>
      <c r="H43" s="1"/>
    </row>
    <row r="44" spans="1:8" ht="15.6" hidden="1" x14ac:dyDescent="0.3">
      <c r="B44" s="129"/>
      <c r="F44" s="9"/>
      <c r="G44"/>
      <c r="H44"/>
    </row>
    <row r="45" spans="1:8" ht="15.6" hidden="1" x14ac:dyDescent="0.3">
      <c r="A45" s="129" t="s">
        <v>23</v>
      </c>
      <c r="B45" s="129" t="s">
        <v>24</v>
      </c>
      <c r="F45" s="5">
        <v>0</v>
      </c>
      <c r="G45"/>
      <c r="H45"/>
    </row>
    <row r="46" spans="1:8" hidden="1" x14ac:dyDescent="0.3">
      <c r="F46"/>
      <c r="G46"/>
      <c r="H46"/>
    </row>
    <row r="47" spans="1:8" hidden="1" x14ac:dyDescent="0.3">
      <c r="A47" s="1"/>
      <c r="B47" s="3" t="s">
        <v>25</v>
      </c>
      <c r="C47" s="1"/>
      <c r="D47" s="1"/>
      <c r="E47" s="1"/>
      <c r="F47" s="1"/>
      <c r="G47" s="1"/>
      <c r="H47" s="1"/>
    </row>
    <row r="48" spans="1:8" hidden="1" x14ac:dyDescent="0.3">
      <c r="A48" s="1"/>
      <c r="B48" s="3"/>
      <c r="C48" s="1"/>
      <c r="D48" s="1"/>
      <c r="E48" s="1"/>
      <c r="F48" s="1"/>
      <c r="G48" s="1"/>
      <c r="H48" s="1"/>
    </row>
    <row r="49" spans="1:13" hidden="1" x14ac:dyDescent="0.3">
      <c r="A49" s="134"/>
      <c r="B49" s="134"/>
      <c r="C49" s="134"/>
      <c r="D49" s="134"/>
      <c r="E49" s="134"/>
      <c r="F49" s="134"/>
      <c r="G49" s="134"/>
      <c r="H49" s="134"/>
    </row>
    <row r="50" spans="1:13" hidden="1" x14ac:dyDescent="0.3">
      <c r="A50" s="134"/>
      <c r="B50" s="134"/>
      <c r="C50" s="134"/>
      <c r="D50" s="134"/>
      <c r="E50" s="134"/>
      <c r="F50" s="134"/>
      <c r="G50" s="134"/>
      <c r="H50" s="134"/>
    </row>
    <row r="51" spans="1:13" hidden="1" x14ac:dyDescent="0.3">
      <c r="A51" s="1" t="s">
        <v>26</v>
      </c>
      <c r="B51" s="1"/>
      <c r="C51" s="1"/>
      <c r="D51" s="1"/>
      <c r="E51" s="1"/>
      <c r="F51" s="1"/>
      <c r="G51" s="1"/>
      <c r="H51" s="1"/>
    </row>
    <row r="52" spans="1:13" hidden="1" x14ac:dyDescent="0.3">
      <c r="A52" s="1" t="s">
        <v>27</v>
      </c>
      <c r="B52" s="1"/>
      <c r="C52" s="1"/>
      <c r="D52" s="1"/>
      <c r="E52" s="1"/>
      <c r="F52" s="1"/>
      <c r="G52" s="1"/>
      <c r="H52" s="1"/>
    </row>
    <row r="53" spans="1:13" hidden="1" x14ac:dyDescent="0.3">
      <c r="G53" s="11"/>
      <c r="H53" s="11"/>
    </row>
    <row r="54" spans="1:13" ht="15.6" hidden="1" x14ac:dyDescent="0.3">
      <c r="A54" s="129" t="s">
        <v>28</v>
      </c>
      <c r="B54" s="129"/>
      <c r="C54" s="129"/>
      <c r="D54" s="129"/>
      <c r="E54" s="129"/>
      <c r="F54" s="9"/>
      <c r="G54" s="12"/>
      <c r="H54" s="12"/>
    </row>
    <row r="55" spans="1:13" ht="15.6" hidden="1" x14ac:dyDescent="0.3">
      <c r="A55" s="129"/>
      <c r="B55" s="129"/>
      <c r="C55" s="129"/>
      <c r="D55" s="129"/>
      <c r="E55" s="129"/>
      <c r="F55" s="9"/>
      <c r="G55" s="12"/>
      <c r="H55" s="12"/>
    </row>
    <row r="56" spans="1:13" ht="15.6" x14ac:dyDescent="0.3">
      <c r="A56" s="129"/>
      <c r="B56" s="129"/>
      <c r="C56" s="129"/>
      <c r="D56" s="129"/>
      <c r="E56" s="129"/>
      <c r="F56" s="9"/>
      <c r="G56" s="12"/>
      <c r="H56" s="12"/>
    </row>
    <row r="57" spans="1:13" s="2" customFormat="1" ht="13.8" x14ac:dyDescent="0.25">
      <c r="A57" s="2" t="s">
        <v>0</v>
      </c>
    </row>
    <row r="58" spans="1:13" s="123" customFormat="1" x14ac:dyDescent="0.3">
      <c r="A58" s="173" t="s">
        <v>543</v>
      </c>
      <c r="B58" s="173"/>
      <c r="C58" s="173"/>
      <c r="D58" s="173"/>
      <c r="E58" s="173"/>
      <c r="F58" s="173"/>
      <c r="G58" s="173"/>
      <c r="H58" s="173"/>
      <c r="I58" s="177"/>
      <c r="J58" s="177"/>
    </row>
    <row r="59" spans="1:13" s="3" customFormat="1" ht="13.2" x14ac:dyDescent="0.25"/>
    <row r="60" spans="1:13" ht="15.6" x14ac:dyDescent="0.3">
      <c r="A60" s="129"/>
      <c r="B60" s="129"/>
      <c r="C60" s="129"/>
      <c r="D60" s="129"/>
      <c r="E60" s="129"/>
      <c r="F60" s="9"/>
      <c r="G60" s="12"/>
      <c r="H60" s="12"/>
    </row>
    <row r="61" spans="1:13" ht="31.2" x14ac:dyDescent="0.3">
      <c r="A61" s="129"/>
      <c r="B61" s="129"/>
      <c r="C61" s="129"/>
      <c r="D61" s="129"/>
      <c r="E61" s="129"/>
      <c r="F61" s="13" t="s">
        <v>29</v>
      </c>
      <c r="G61" s="14" t="s">
        <v>30</v>
      </c>
      <c r="H61" s="15" t="s">
        <v>31</v>
      </c>
      <c r="I61" s="16" t="s">
        <v>32</v>
      </c>
      <c r="J61" s="16" t="s">
        <v>33</v>
      </c>
    </row>
    <row r="62" spans="1:13" ht="15.6" x14ac:dyDescent="0.3">
      <c r="A62" s="129" t="s">
        <v>34</v>
      </c>
      <c r="B62" s="174" t="s">
        <v>35</v>
      </c>
      <c r="C62" s="174"/>
      <c r="D62" s="174"/>
      <c r="E62" s="174"/>
      <c r="F62" s="13"/>
      <c r="G62" s="14"/>
      <c r="H62" s="17"/>
      <c r="L62">
        <v>23</v>
      </c>
      <c r="M62">
        <v>24</v>
      </c>
    </row>
    <row r="63" spans="1:13" ht="15.6" x14ac:dyDescent="0.3">
      <c r="A63" s="129"/>
      <c r="B63" s="129"/>
      <c r="C63" s="129"/>
      <c r="D63" s="129"/>
      <c r="E63" s="129"/>
      <c r="F63" s="13"/>
      <c r="G63" s="14"/>
      <c r="H63" s="17"/>
    </row>
    <row r="64" spans="1:13" ht="15.6" x14ac:dyDescent="0.3">
      <c r="A64" s="129"/>
      <c r="B64" s="170" t="s">
        <v>5</v>
      </c>
      <c r="C64" s="170"/>
      <c r="D64" s="170"/>
      <c r="E64" s="170"/>
      <c r="F64" s="18">
        <v>18596400</v>
      </c>
      <c r="G64" s="18">
        <f>G85-G163</f>
        <v>7495895.4499999993</v>
      </c>
      <c r="H64" s="18">
        <f>H166-7000</f>
        <v>13696722</v>
      </c>
      <c r="I64" s="18">
        <f>I166-5000</f>
        <v>9603400</v>
      </c>
      <c r="J64" s="18">
        <f>J166-5000</f>
        <v>15155900</v>
      </c>
    </row>
    <row r="65" spans="1:15" ht="15.6" x14ac:dyDescent="0.3">
      <c r="A65" s="129"/>
      <c r="B65" s="170" t="s">
        <v>36</v>
      </c>
      <c r="C65" s="170"/>
      <c r="D65" s="170"/>
      <c r="E65" s="170"/>
      <c r="F65" s="18">
        <v>15000</v>
      </c>
      <c r="G65" s="18">
        <f>G163</f>
        <v>15747.38</v>
      </c>
      <c r="H65" s="18">
        <v>7000</v>
      </c>
      <c r="I65" s="18">
        <v>5000</v>
      </c>
      <c r="J65" s="18">
        <v>5000</v>
      </c>
    </row>
    <row r="66" spans="1:15" s="3" customFormat="1" ht="15.6" x14ac:dyDescent="0.3">
      <c r="A66" s="133"/>
      <c r="B66" s="171" t="s">
        <v>37</v>
      </c>
      <c r="C66" s="171"/>
      <c r="D66" s="171"/>
      <c r="E66" s="171"/>
      <c r="F66" s="19">
        <f>F64+F65</f>
        <v>18611400</v>
      </c>
      <c r="G66" s="19">
        <f t="shared" ref="G66:H66" si="0">G64+G65</f>
        <v>7511642.8299999991</v>
      </c>
      <c r="H66" s="19">
        <f t="shared" si="0"/>
        <v>13703722</v>
      </c>
      <c r="I66" s="19">
        <f>I64+I65</f>
        <v>9608400</v>
      </c>
      <c r="J66" s="19">
        <f>J64+J65</f>
        <v>15160900</v>
      </c>
    </row>
    <row r="67" spans="1:15" ht="15.6" x14ac:dyDescent="0.3">
      <c r="A67" s="129"/>
      <c r="B67" s="170" t="s">
        <v>8</v>
      </c>
      <c r="C67" s="170"/>
      <c r="D67" s="170"/>
      <c r="E67" s="170"/>
      <c r="F67" s="18">
        <v>6417240.2699999996</v>
      </c>
      <c r="G67" s="18">
        <f>904664.57+3745497.87-776416.28-874.13</f>
        <v>3872872.0300000003</v>
      </c>
      <c r="H67" s="18">
        <v>6260722</v>
      </c>
      <c r="I67" s="18">
        <v>5046400</v>
      </c>
      <c r="J67" s="18">
        <f>J69-J68</f>
        <v>5120900</v>
      </c>
    </row>
    <row r="68" spans="1:15" ht="15.6" x14ac:dyDescent="0.3">
      <c r="A68" s="129"/>
      <c r="B68" s="170" t="s">
        <v>38</v>
      </c>
      <c r="C68" s="170"/>
      <c r="D68" s="170"/>
      <c r="E68" s="170"/>
      <c r="F68" s="18">
        <v>13782000</v>
      </c>
      <c r="G68" s="18">
        <f>6391.5+3601872.62</f>
        <v>3608264.12</v>
      </c>
      <c r="H68" s="18">
        <f>5221000+600000</f>
        <v>5821000</v>
      </c>
      <c r="I68" s="18">
        <v>4830000</v>
      </c>
      <c r="J68" s="18">
        <v>10040000</v>
      </c>
    </row>
    <row r="69" spans="1:15" s="3" customFormat="1" ht="15.6" x14ac:dyDescent="0.3">
      <c r="A69" s="133"/>
      <c r="B69" s="171" t="s">
        <v>39</v>
      </c>
      <c r="C69" s="171"/>
      <c r="D69" s="171"/>
      <c r="E69" s="171"/>
      <c r="F69" s="19">
        <f>F67+F68</f>
        <v>20199240.27</v>
      </c>
      <c r="G69" s="19">
        <f t="shared" ref="G69" si="1">G67+G68</f>
        <v>7481136.1500000004</v>
      </c>
      <c r="H69" s="19">
        <f>H67+H68</f>
        <v>12081722</v>
      </c>
      <c r="I69" s="19">
        <f>I67+I68</f>
        <v>9876400</v>
      </c>
      <c r="J69" s="19">
        <f t="shared" ref="J69" si="2">J179</f>
        <v>15160900</v>
      </c>
      <c r="M69" s="20" t="s">
        <v>40</v>
      </c>
      <c r="N69" s="20"/>
      <c r="O69" s="20"/>
    </row>
    <row r="70" spans="1:15" ht="15.6" x14ac:dyDescent="0.3">
      <c r="A70" s="129"/>
      <c r="B70" s="170" t="s">
        <v>41</v>
      </c>
      <c r="C70" s="170"/>
      <c r="D70" s="170"/>
      <c r="E70" s="170"/>
      <c r="F70" s="9">
        <f>F66-F69</f>
        <v>-1587840.2699999996</v>
      </c>
      <c r="G70" s="9">
        <f t="shared" ref="G70" si="3">G66-G69</f>
        <v>30506.679999998771</v>
      </c>
      <c r="H70" s="9">
        <f>H66-H69</f>
        <v>1622000</v>
      </c>
      <c r="I70" s="9">
        <f>I66-I69</f>
        <v>-268000</v>
      </c>
      <c r="J70" s="10"/>
      <c r="M70" s="21">
        <f>H66-H69</f>
        <v>1622000</v>
      </c>
      <c r="N70" s="22"/>
      <c r="O70" s="22"/>
    </row>
    <row r="71" spans="1:15" ht="15.6" x14ac:dyDescent="0.3">
      <c r="A71" s="129"/>
      <c r="B71" s="130"/>
      <c r="C71" s="130"/>
      <c r="D71" s="130"/>
      <c r="E71" s="130"/>
      <c r="F71" s="9"/>
      <c r="G71" s="18"/>
      <c r="H71" s="18"/>
      <c r="M71" s="22"/>
      <c r="N71" s="22"/>
      <c r="O71" s="22"/>
    </row>
    <row r="72" spans="1:15" ht="15.6" x14ac:dyDescent="0.3">
      <c r="A72" s="129" t="s">
        <v>11</v>
      </c>
      <c r="B72" s="174" t="s">
        <v>12</v>
      </c>
      <c r="C72" s="174"/>
      <c r="D72" s="174"/>
      <c r="E72" s="174"/>
      <c r="F72" s="9"/>
      <c r="G72" s="18"/>
      <c r="H72" s="18"/>
    </row>
    <row r="73" spans="1:15" ht="15.6" x14ac:dyDescent="0.3">
      <c r="A73" s="129"/>
      <c r="B73" s="129"/>
      <c r="C73" s="129"/>
      <c r="D73" s="129"/>
      <c r="E73" s="129"/>
      <c r="F73" s="9"/>
      <c r="G73" s="18"/>
      <c r="H73" s="18"/>
    </row>
    <row r="74" spans="1:15" ht="15.6" x14ac:dyDescent="0.3">
      <c r="A74" s="129"/>
      <c r="B74" s="170" t="s">
        <v>42</v>
      </c>
      <c r="C74" s="170"/>
      <c r="D74" s="170"/>
      <c r="E74" s="170"/>
      <c r="F74" s="9"/>
      <c r="G74" s="18"/>
      <c r="H74" s="18">
        <v>0</v>
      </c>
      <c r="M74" s="22" t="s">
        <v>43</v>
      </c>
      <c r="N74" s="22"/>
    </row>
    <row r="75" spans="1:15" ht="15.6" x14ac:dyDescent="0.3">
      <c r="A75" s="129"/>
      <c r="B75" s="175" t="s">
        <v>44</v>
      </c>
      <c r="C75" s="175"/>
      <c r="D75" s="175"/>
      <c r="E75" s="175"/>
      <c r="F75" s="9"/>
      <c r="G75" s="18"/>
      <c r="H75" s="18">
        <f>2500000-600000</f>
        <v>1900000</v>
      </c>
      <c r="M75" s="21">
        <v>278000</v>
      </c>
      <c r="N75" s="22"/>
    </row>
    <row r="76" spans="1:15" ht="15.6" x14ac:dyDescent="0.3">
      <c r="A76" s="129"/>
      <c r="B76" s="167" t="s">
        <v>45</v>
      </c>
      <c r="C76" s="167"/>
      <c r="D76" s="167"/>
      <c r="E76" s="167"/>
      <c r="F76" s="9"/>
      <c r="G76" s="18"/>
      <c r="H76" s="18">
        <f>H74-H75</f>
        <v>-1900000</v>
      </c>
    </row>
    <row r="77" spans="1:15" ht="15.6" x14ac:dyDescent="0.3">
      <c r="A77" s="129"/>
      <c r="B77" s="131"/>
      <c r="C77" s="131"/>
      <c r="D77" s="131"/>
      <c r="E77" s="131"/>
      <c r="F77" s="9"/>
      <c r="G77" s="18"/>
      <c r="H77" s="18"/>
    </row>
    <row r="78" spans="1:15" ht="15.6" x14ac:dyDescent="0.3">
      <c r="A78" s="129" t="s">
        <v>17</v>
      </c>
      <c r="B78" s="168" t="s">
        <v>46</v>
      </c>
      <c r="C78" s="168"/>
      <c r="D78" s="168"/>
      <c r="E78" s="168"/>
      <c r="F78" s="9"/>
      <c r="G78" s="18"/>
      <c r="H78" s="18"/>
    </row>
    <row r="79" spans="1:15" ht="15.6" x14ac:dyDescent="0.3">
      <c r="A79" s="129"/>
      <c r="B79" s="169" t="s">
        <v>47</v>
      </c>
      <c r="C79" s="169"/>
      <c r="D79" s="169"/>
      <c r="E79" s="169"/>
      <c r="F79" s="9">
        <v>1587840.27</v>
      </c>
      <c r="G79" s="9"/>
      <c r="H79" s="9">
        <v>278000</v>
      </c>
      <c r="I79" s="9">
        <v>268000</v>
      </c>
    </row>
    <row r="80" spans="1:15" ht="15.6" x14ac:dyDescent="0.3">
      <c r="A80" s="129"/>
      <c r="B80" s="132"/>
      <c r="C80" s="132"/>
      <c r="D80" s="132"/>
      <c r="E80" s="132"/>
      <c r="F80" s="9"/>
      <c r="G80" s="9"/>
      <c r="H80" s="18"/>
    </row>
    <row r="81" spans="1:10" ht="15.6" x14ac:dyDescent="0.3">
      <c r="A81" s="129"/>
      <c r="B81" s="132"/>
      <c r="C81" s="132"/>
      <c r="D81" s="132"/>
      <c r="E81" s="132"/>
      <c r="F81" s="23" t="s">
        <v>48</v>
      </c>
      <c r="G81" s="9"/>
      <c r="H81" s="18"/>
    </row>
    <row r="82" spans="1:10" ht="15.6" x14ac:dyDescent="0.3">
      <c r="A82" s="129"/>
      <c r="B82" s="132"/>
      <c r="C82" s="132"/>
      <c r="D82" s="132"/>
      <c r="E82" s="132"/>
      <c r="F82" s="23"/>
      <c r="G82" s="9"/>
      <c r="H82" s="18"/>
    </row>
    <row r="83" spans="1:10" ht="15.6" x14ac:dyDescent="0.3">
      <c r="A83" s="129"/>
      <c r="B83" s="132"/>
      <c r="C83" s="132"/>
      <c r="D83" s="132"/>
      <c r="E83" s="132"/>
      <c r="F83" s="23"/>
      <c r="G83" s="9"/>
      <c r="H83" s="18"/>
    </row>
    <row r="84" spans="1:10" s="3" customFormat="1" ht="31.2" x14ac:dyDescent="0.3">
      <c r="A84" s="129"/>
      <c r="B84" s="129"/>
      <c r="C84" s="129"/>
      <c r="D84" s="129"/>
      <c r="E84" s="129"/>
      <c r="F84" s="13" t="s">
        <v>29</v>
      </c>
      <c r="G84" s="14" t="s">
        <v>30</v>
      </c>
      <c r="H84" s="15" t="s">
        <v>31</v>
      </c>
      <c r="I84" s="24" t="s">
        <v>49</v>
      </c>
      <c r="J84" s="24" t="s">
        <v>50</v>
      </c>
    </row>
    <row r="85" spans="1:10" s="27" customFormat="1" ht="2.25" customHeight="1" x14ac:dyDescent="0.3">
      <c r="A85" s="25"/>
      <c r="B85" s="165" t="s">
        <v>51</v>
      </c>
      <c r="C85" s="165"/>
      <c r="D85" s="165"/>
      <c r="E85" s="165"/>
      <c r="F85" s="26">
        <f>F87+F95+F130+F147+F157+F163</f>
        <v>18611400</v>
      </c>
      <c r="G85" s="26">
        <f>G87+G95+G130+G147+G157+G163</f>
        <v>7511642.8299999991</v>
      </c>
      <c r="H85" s="26">
        <f>H87+H95+H130+H147+H157+H163</f>
        <v>13703722</v>
      </c>
      <c r="J85" s="28" t="s">
        <v>52</v>
      </c>
    </row>
    <row r="86" spans="1:10" x14ac:dyDescent="0.3">
      <c r="A86" s="166" t="s">
        <v>5</v>
      </c>
      <c r="B86" s="166"/>
      <c r="C86" s="166"/>
      <c r="D86" s="166"/>
      <c r="E86" s="166"/>
      <c r="F86" s="29"/>
      <c r="G86" s="29"/>
      <c r="H86" s="29"/>
      <c r="I86" s="30"/>
      <c r="J86" s="30"/>
    </row>
    <row r="87" spans="1:10" x14ac:dyDescent="0.3">
      <c r="A87" s="31">
        <v>61</v>
      </c>
      <c r="B87" s="31" t="s">
        <v>53</v>
      </c>
      <c r="C87" s="31"/>
      <c r="D87" s="31"/>
      <c r="E87" s="31"/>
      <c r="F87" s="32">
        <f>SUM(F88:F93)</f>
        <v>858000</v>
      </c>
      <c r="G87" s="32">
        <f>SUM(G88:G93)</f>
        <v>830982</v>
      </c>
      <c r="H87" s="32">
        <f>SUM(H88:H93)</f>
        <v>860500</v>
      </c>
      <c r="I87" s="33">
        <v>860000</v>
      </c>
      <c r="J87" s="33">
        <v>860000</v>
      </c>
    </row>
    <row r="88" spans="1:10" x14ac:dyDescent="0.3">
      <c r="A88">
        <v>6111</v>
      </c>
      <c r="B88" t="s">
        <v>54</v>
      </c>
      <c r="F88" s="10">
        <v>800000</v>
      </c>
      <c r="G88" s="10">
        <v>777550.83</v>
      </c>
      <c r="H88" s="34">
        <v>1000000</v>
      </c>
      <c r="I88" s="10"/>
      <c r="J88" s="10"/>
    </row>
    <row r="89" spans="1:10" x14ac:dyDescent="0.3">
      <c r="B89" s="141" t="s">
        <v>55</v>
      </c>
      <c r="C89" s="148"/>
      <c r="D89" s="148"/>
      <c r="E89" s="148"/>
      <c r="H89" s="34">
        <v>-200000</v>
      </c>
      <c r="I89" s="10"/>
      <c r="J89" s="10"/>
    </row>
    <row r="90" spans="1:10" x14ac:dyDescent="0.3">
      <c r="A90">
        <v>6131</v>
      </c>
      <c r="B90" t="s">
        <v>56</v>
      </c>
      <c r="F90" s="10">
        <v>2000</v>
      </c>
      <c r="G90" s="10">
        <v>3646</v>
      </c>
      <c r="H90" s="10">
        <v>3500</v>
      </c>
      <c r="I90" s="10"/>
      <c r="J90" s="10"/>
    </row>
    <row r="91" spans="1:10" x14ac:dyDescent="0.3">
      <c r="A91">
        <v>6134</v>
      </c>
      <c r="B91" t="s">
        <v>57</v>
      </c>
      <c r="F91" s="10">
        <v>40000</v>
      </c>
      <c r="G91" s="10">
        <v>34523.93</v>
      </c>
      <c r="H91" s="10">
        <v>36000</v>
      </c>
      <c r="I91" s="10"/>
      <c r="J91" s="10"/>
    </row>
    <row r="92" spans="1:10" x14ac:dyDescent="0.3">
      <c r="A92">
        <v>6142</v>
      </c>
      <c r="B92" t="s">
        <v>58</v>
      </c>
      <c r="F92" s="10">
        <v>12000</v>
      </c>
      <c r="G92" s="10">
        <v>11271.24</v>
      </c>
      <c r="H92" s="10">
        <v>20000</v>
      </c>
      <c r="I92" s="10"/>
      <c r="J92" s="10"/>
    </row>
    <row r="93" spans="1:10" x14ac:dyDescent="0.3">
      <c r="A93">
        <v>6145</v>
      </c>
      <c r="B93" s="148" t="s">
        <v>59</v>
      </c>
      <c r="C93" s="148"/>
      <c r="D93" s="148"/>
      <c r="E93" s="148"/>
      <c r="F93" s="10">
        <v>4000</v>
      </c>
      <c r="G93" s="10">
        <v>3990</v>
      </c>
      <c r="H93" s="10">
        <v>1000</v>
      </c>
      <c r="I93" s="10"/>
      <c r="J93" s="10"/>
    </row>
    <row r="94" spans="1:10" x14ac:dyDescent="0.3">
      <c r="I94" s="10"/>
      <c r="J94" s="10"/>
    </row>
    <row r="95" spans="1:10" x14ac:dyDescent="0.3">
      <c r="A95" s="31">
        <v>63</v>
      </c>
      <c r="B95" s="31" t="s">
        <v>60</v>
      </c>
      <c r="C95" s="31"/>
      <c r="D95" s="31"/>
      <c r="E95" s="31"/>
      <c r="F95" s="32">
        <f>F97+F117+F119+F121</f>
        <v>15701800</v>
      </c>
      <c r="G95" s="32">
        <f>G97+G117+G119+G121</f>
        <v>4747712.84</v>
      </c>
      <c r="H95" s="32">
        <f>H97+H117+H119+H121</f>
        <v>10465872</v>
      </c>
      <c r="I95" s="32">
        <f>2600000+I114</f>
        <v>6665000</v>
      </c>
      <c r="J95" s="32">
        <f>3021350+J114</f>
        <v>11945350</v>
      </c>
    </row>
    <row r="96" spans="1:10" x14ac:dyDescent="0.3">
      <c r="A96" s="2"/>
      <c r="B96" s="2" t="s">
        <v>61</v>
      </c>
      <c r="C96" s="2"/>
      <c r="D96" s="2"/>
      <c r="E96" s="2"/>
      <c r="I96" s="10"/>
      <c r="J96" s="10"/>
    </row>
    <row r="97" spans="1:12" x14ac:dyDescent="0.3">
      <c r="A97" s="2">
        <v>633</v>
      </c>
      <c r="B97" s="2" t="s">
        <v>62</v>
      </c>
      <c r="C97" s="2"/>
      <c r="D97" s="2"/>
      <c r="E97" s="2"/>
      <c r="F97" s="35">
        <f>SUM(F98:F116)</f>
        <v>5588800</v>
      </c>
      <c r="G97" s="35">
        <f>SUM(G98:G116)</f>
        <v>2799479.1599999997</v>
      </c>
      <c r="H97" s="35">
        <f>SUM(H98:H116)</f>
        <v>4718300</v>
      </c>
      <c r="I97" s="35"/>
      <c r="J97" s="35"/>
    </row>
    <row r="98" spans="1:12" s="1" customFormat="1" ht="13.2" x14ac:dyDescent="0.25">
      <c r="A98" s="1">
        <v>6331</v>
      </c>
      <c r="B98" s="1" t="s">
        <v>63</v>
      </c>
      <c r="F98" s="36">
        <v>2463000</v>
      </c>
      <c r="G98" s="36">
        <v>2052866.4</v>
      </c>
      <c r="H98" s="36">
        <v>2500000</v>
      </c>
      <c r="I98" s="36"/>
      <c r="J98" s="36"/>
    </row>
    <row r="99" spans="1:12" x14ac:dyDescent="0.3">
      <c r="A99" s="1">
        <v>6331</v>
      </c>
      <c r="B99" s="1" t="s">
        <v>64</v>
      </c>
      <c r="F99" s="10">
        <v>10500</v>
      </c>
      <c r="G99" s="10">
        <v>10500</v>
      </c>
      <c r="H99" s="36">
        <v>10500</v>
      </c>
      <c r="I99" s="10"/>
      <c r="J99" s="10"/>
    </row>
    <row r="100" spans="1:12" x14ac:dyDescent="0.3">
      <c r="A100" s="1">
        <v>6331</v>
      </c>
      <c r="B100" s="1" t="s">
        <v>65</v>
      </c>
      <c r="E100" s="1" t="s">
        <v>66</v>
      </c>
      <c r="F100" s="10">
        <v>2000</v>
      </c>
      <c r="H100" s="34">
        <v>800</v>
      </c>
      <c r="I100" s="10"/>
      <c r="J100" s="10"/>
    </row>
    <row r="101" spans="1:12" s="1" customFormat="1" ht="13.2" x14ac:dyDescent="0.25">
      <c r="A101" s="1">
        <v>6331</v>
      </c>
      <c r="B101" s="1" t="s">
        <v>67</v>
      </c>
      <c r="F101" s="36">
        <v>64300</v>
      </c>
      <c r="G101" s="36">
        <v>64303.94</v>
      </c>
      <c r="H101" s="36"/>
      <c r="I101" s="36"/>
      <c r="J101" s="36"/>
    </row>
    <row r="102" spans="1:12" x14ac:dyDescent="0.3">
      <c r="A102" s="1">
        <v>6332</v>
      </c>
      <c r="B102" s="1" t="s">
        <v>68</v>
      </c>
      <c r="C102" s="1"/>
      <c r="D102" s="1"/>
      <c r="E102" s="1"/>
      <c r="F102" s="10">
        <v>0</v>
      </c>
      <c r="H102" s="36"/>
      <c r="I102" s="10"/>
      <c r="J102" s="10"/>
      <c r="K102" s="37"/>
      <c r="L102" s="37"/>
    </row>
    <row r="103" spans="1:12" x14ac:dyDescent="0.3">
      <c r="A103" s="1">
        <v>6332</v>
      </c>
      <c r="B103" s="146" t="s">
        <v>69</v>
      </c>
      <c r="C103" s="146"/>
      <c r="D103" s="146"/>
      <c r="E103" s="146"/>
      <c r="F103" s="10">
        <v>370000</v>
      </c>
      <c r="G103" s="10">
        <v>220000</v>
      </c>
      <c r="H103" s="36">
        <f>220000+100000</f>
        <v>320000</v>
      </c>
      <c r="I103" s="10"/>
      <c r="J103" s="10"/>
      <c r="K103" s="37"/>
      <c r="L103" s="37"/>
    </row>
    <row r="104" spans="1:12" x14ac:dyDescent="0.3">
      <c r="A104" s="1">
        <v>6332</v>
      </c>
      <c r="B104" s="1" t="s">
        <v>70</v>
      </c>
      <c r="C104" s="1"/>
      <c r="D104" s="1"/>
      <c r="E104" s="1"/>
      <c r="F104" s="10">
        <v>200000</v>
      </c>
      <c r="H104" s="36"/>
      <c r="I104" s="10"/>
      <c r="J104" s="10"/>
      <c r="K104" s="27"/>
      <c r="L104" s="27"/>
    </row>
    <row r="105" spans="1:12" ht="15.75" customHeight="1" x14ac:dyDescent="0.3">
      <c r="A105" s="1">
        <v>6332</v>
      </c>
      <c r="B105" s="1" t="s">
        <v>71</v>
      </c>
      <c r="C105" s="1"/>
      <c r="D105" s="1"/>
      <c r="E105" s="1"/>
      <c r="F105" s="10">
        <v>400000</v>
      </c>
      <c r="H105" s="36">
        <v>500000</v>
      </c>
      <c r="I105" s="10"/>
      <c r="J105" s="10"/>
      <c r="K105" s="27"/>
      <c r="L105" s="27"/>
    </row>
    <row r="106" spans="1:12" x14ac:dyDescent="0.3">
      <c r="A106" s="1">
        <v>6332</v>
      </c>
      <c r="B106" s="1" t="s">
        <v>526</v>
      </c>
      <c r="F106" s="10">
        <v>1000000</v>
      </c>
      <c r="G106" s="10">
        <v>31815.79</v>
      </c>
      <c r="H106" s="34">
        <v>442000</v>
      </c>
      <c r="I106" s="10"/>
      <c r="J106" s="10"/>
    </row>
    <row r="107" spans="1:12" x14ac:dyDescent="0.3">
      <c r="A107" s="1">
        <v>6332</v>
      </c>
      <c r="B107" s="38" t="s">
        <v>72</v>
      </c>
      <c r="C107" s="39"/>
      <c r="D107" s="39"/>
      <c r="E107" s="39"/>
      <c r="F107" s="10">
        <v>240000</v>
      </c>
      <c r="G107" s="10">
        <f>149835+230360-149835</f>
        <v>230360</v>
      </c>
      <c r="H107" s="36">
        <v>250000</v>
      </c>
      <c r="I107" s="10"/>
      <c r="J107" s="10"/>
    </row>
    <row r="108" spans="1:12" x14ac:dyDescent="0.3">
      <c r="A108" s="1"/>
      <c r="B108" s="146" t="s">
        <v>527</v>
      </c>
      <c r="C108" s="146"/>
      <c r="D108" s="146"/>
      <c r="E108" s="146"/>
      <c r="H108" s="36">
        <v>300000</v>
      </c>
      <c r="I108" s="10"/>
      <c r="J108" s="10"/>
    </row>
    <row r="109" spans="1:12" x14ac:dyDescent="0.3">
      <c r="A109" s="1"/>
      <c r="B109" s="146" t="s">
        <v>73</v>
      </c>
      <c r="C109" s="146"/>
      <c r="D109" s="146"/>
      <c r="E109" s="146"/>
      <c r="H109" s="36">
        <v>55000</v>
      </c>
      <c r="I109" s="10"/>
      <c r="J109" s="10"/>
    </row>
    <row r="110" spans="1:12" ht="12.75" customHeight="1" x14ac:dyDescent="0.3">
      <c r="A110" s="1"/>
      <c r="B110" s="146" t="s">
        <v>74</v>
      </c>
      <c r="C110" s="146"/>
      <c r="D110" s="146"/>
      <c r="E110" s="146"/>
      <c r="H110" s="36">
        <v>140000</v>
      </c>
      <c r="I110" s="10"/>
      <c r="J110" s="10"/>
    </row>
    <row r="111" spans="1:12" ht="12.75" customHeight="1" x14ac:dyDescent="0.3">
      <c r="A111" s="1"/>
      <c r="B111" s="146" t="s">
        <v>75</v>
      </c>
      <c r="C111" s="146"/>
      <c r="D111" s="146"/>
      <c r="E111" s="146"/>
      <c r="H111" s="36">
        <v>200000</v>
      </c>
      <c r="I111" s="10"/>
      <c r="J111" s="10"/>
    </row>
    <row r="112" spans="1:12" x14ac:dyDescent="0.3">
      <c r="A112" s="1">
        <v>6332</v>
      </c>
      <c r="B112" s="1" t="s">
        <v>528</v>
      </c>
      <c r="F112" s="10">
        <v>300000</v>
      </c>
      <c r="G112" s="10">
        <f>8750+63026.08+9000-72026.08</f>
        <v>8750</v>
      </c>
      <c r="H112" s="36"/>
      <c r="I112" s="10"/>
      <c r="J112" s="10"/>
    </row>
    <row r="113" spans="1:11" x14ac:dyDescent="0.3">
      <c r="A113" s="1">
        <v>6332</v>
      </c>
      <c r="B113" s="1" t="s">
        <v>76</v>
      </c>
      <c r="F113" s="10">
        <v>150000</v>
      </c>
      <c r="G113" s="10">
        <v>149835</v>
      </c>
      <c r="H113" s="36"/>
      <c r="I113" s="10"/>
      <c r="J113" s="10"/>
    </row>
    <row r="114" spans="1:11" x14ac:dyDescent="0.3">
      <c r="A114" s="1"/>
      <c r="B114" s="141" t="s">
        <v>77</v>
      </c>
      <c r="C114" s="141"/>
      <c r="D114" s="141"/>
      <c r="E114" s="141"/>
      <c r="H114" s="36"/>
      <c r="I114" s="10">
        <v>4065000</v>
      </c>
      <c r="J114" s="10">
        <v>8924000</v>
      </c>
    </row>
    <row r="115" spans="1:11" x14ac:dyDescent="0.3">
      <c r="A115" s="1">
        <v>6332</v>
      </c>
      <c r="B115" s="1" t="s">
        <v>78</v>
      </c>
      <c r="F115" s="10">
        <v>31000</v>
      </c>
      <c r="G115" s="10">
        <v>31048.03</v>
      </c>
      <c r="H115" s="36"/>
      <c r="I115" s="10"/>
      <c r="J115" s="10"/>
    </row>
    <row r="116" spans="1:11" x14ac:dyDescent="0.3">
      <c r="A116" s="1">
        <v>6332</v>
      </c>
      <c r="B116" s="1" t="s">
        <v>79</v>
      </c>
      <c r="F116" s="10">
        <v>358000</v>
      </c>
      <c r="H116" s="36"/>
      <c r="I116" s="10"/>
      <c r="J116" s="10"/>
    </row>
    <row r="117" spans="1:11" s="3" customFormat="1" ht="13.2" x14ac:dyDescent="0.25">
      <c r="A117" s="3">
        <v>634</v>
      </c>
      <c r="B117" s="3" t="s">
        <v>80</v>
      </c>
      <c r="F117" s="5">
        <f t="shared" ref="F117:H117" si="4">F118</f>
        <v>30000</v>
      </c>
      <c r="G117" s="5">
        <f t="shared" si="4"/>
        <v>29889.68</v>
      </c>
      <c r="H117" s="5">
        <f t="shared" si="4"/>
        <v>56250</v>
      </c>
      <c r="I117" s="5"/>
      <c r="J117" s="5"/>
    </row>
    <row r="118" spans="1:11" x14ac:dyDescent="0.3">
      <c r="A118" s="1">
        <v>6341</v>
      </c>
      <c r="B118" t="s">
        <v>81</v>
      </c>
      <c r="F118" s="10">
        <v>30000</v>
      </c>
      <c r="G118" s="10">
        <v>29889.68</v>
      </c>
      <c r="H118" s="10">
        <v>56250</v>
      </c>
      <c r="I118" s="10"/>
      <c r="J118" s="10"/>
      <c r="K118">
        <f>4687.5*12</f>
        <v>56250</v>
      </c>
    </row>
    <row r="119" spans="1:11" s="3" customFormat="1" ht="13.2" x14ac:dyDescent="0.25">
      <c r="A119" s="3">
        <v>635</v>
      </c>
      <c r="B119" s="3" t="s">
        <v>82</v>
      </c>
      <c r="F119" s="5">
        <f t="shared" ref="F119:H119" si="5">F120</f>
        <v>100000</v>
      </c>
      <c r="G119" s="5">
        <f t="shared" si="5"/>
        <v>0</v>
      </c>
      <c r="H119" s="5">
        <f t="shared" si="5"/>
        <v>100000</v>
      </c>
      <c r="I119" s="5"/>
      <c r="J119" s="5"/>
    </row>
    <row r="120" spans="1:11" x14ac:dyDescent="0.3">
      <c r="A120" s="1">
        <v>6351</v>
      </c>
      <c r="B120" s="1" t="s">
        <v>83</v>
      </c>
      <c r="F120" s="10">
        <v>100000</v>
      </c>
      <c r="H120" s="10">
        <v>100000</v>
      </c>
      <c r="I120" s="10"/>
      <c r="J120" s="10"/>
    </row>
    <row r="121" spans="1:11" s="3" customFormat="1" ht="13.2" x14ac:dyDescent="0.25">
      <c r="A121" s="3">
        <v>638</v>
      </c>
      <c r="B121" s="3" t="s">
        <v>84</v>
      </c>
      <c r="F121" s="5">
        <f>SUM(F122:F129)</f>
        <v>9983000</v>
      </c>
      <c r="G121" s="5">
        <f>SUM(G122:G129)</f>
        <v>1918344</v>
      </c>
      <c r="H121" s="5">
        <f>SUM(H122:H129)</f>
        <v>5591322</v>
      </c>
      <c r="I121" s="5"/>
      <c r="J121" s="5"/>
    </row>
    <row r="122" spans="1:11" x14ac:dyDescent="0.3">
      <c r="A122" s="1">
        <v>6382</v>
      </c>
      <c r="B122" s="1" t="s">
        <v>85</v>
      </c>
      <c r="C122" s="1"/>
      <c r="D122" s="1"/>
      <c r="E122" s="1"/>
      <c r="F122" s="10">
        <v>46200</v>
      </c>
      <c r="G122" s="10">
        <v>46180.5</v>
      </c>
      <c r="I122" s="10"/>
      <c r="J122" s="10"/>
    </row>
    <row r="123" spans="1:11" x14ac:dyDescent="0.3">
      <c r="A123">
        <v>6382</v>
      </c>
      <c r="B123" s="1" t="s">
        <v>86</v>
      </c>
      <c r="F123" s="10">
        <v>146800</v>
      </c>
      <c r="G123" s="10">
        <v>72026.080000000002</v>
      </c>
      <c r="H123" s="40"/>
      <c r="I123" s="10"/>
      <c r="J123" s="10"/>
    </row>
    <row r="124" spans="1:11" x14ac:dyDescent="0.3">
      <c r="B124" s="164" t="s">
        <v>529</v>
      </c>
      <c r="C124" s="164"/>
      <c r="D124" s="164"/>
      <c r="E124" s="164"/>
      <c r="H124" s="40">
        <v>21910</v>
      </c>
      <c r="I124" s="10"/>
      <c r="J124" s="10"/>
    </row>
    <row r="125" spans="1:11" ht="12.75" customHeight="1" x14ac:dyDescent="0.3">
      <c r="B125" s="164" t="s">
        <v>530</v>
      </c>
      <c r="C125" s="164"/>
      <c r="D125" s="164"/>
      <c r="E125" s="164"/>
      <c r="H125" s="10">
        <v>131412</v>
      </c>
      <c r="I125" s="10"/>
      <c r="J125" s="10"/>
    </row>
    <row r="126" spans="1:11" x14ac:dyDescent="0.3">
      <c r="A126">
        <v>6382</v>
      </c>
      <c r="B126" s="1" t="s">
        <v>536</v>
      </c>
      <c r="F126" s="10">
        <v>8500000</v>
      </c>
      <c r="G126" s="10">
        <f>1846317.92-46180.5</f>
        <v>1800137.42</v>
      </c>
      <c r="H126" s="40">
        <v>3638000</v>
      </c>
      <c r="I126" s="10"/>
      <c r="J126" s="10"/>
    </row>
    <row r="127" spans="1:11" x14ac:dyDescent="0.3">
      <c r="A127">
        <v>6382</v>
      </c>
      <c r="B127" s="1" t="s">
        <v>87</v>
      </c>
      <c r="F127" s="10">
        <v>140000</v>
      </c>
      <c r="I127" s="10"/>
      <c r="J127" s="10"/>
    </row>
    <row r="128" spans="1:11" x14ac:dyDescent="0.3">
      <c r="A128">
        <v>6382</v>
      </c>
      <c r="B128" s="141" t="s">
        <v>88</v>
      </c>
      <c r="C128" s="141"/>
      <c r="D128" s="141"/>
      <c r="E128" s="141"/>
      <c r="F128" s="10">
        <v>150000</v>
      </c>
      <c r="I128" s="10"/>
      <c r="J128" s="10"/>
    </row>
    <row r="129" spans="1:10" x14ac:dyDescent="0.3">
      <c r="A129">
        <v>6382</v>
      </c>
      <c r="B129" s="141" t="s">
        <v>89</v>
      </c>
      <c r="C129" s="148"/>
      <c r="D129" s="148"/>
      <c r="E129" s="148"/>
      <c r="F129" s="10">
        <v>1000000</v>
      </c>
      <c r="H129" s="10">
        <v>1800000</v>
      </c>
      <c r="I129" s="10"/>
      <c r="J129" s="10"/>
    </row>
    <row r="130" spans="1:10" x14ac:dyDescent="0.3">
      <c r="A130" s="41">
        <v>64</v>
      </c>
      <c r="B130" s="31" t="s">
        <v>90</v>
      </c>
      <c r="C130" s="31"/>
      <c r="D130" s="31"/>
      <c r="E130" s="31"/>
      <c r="F130" s="32">
        <f>SUM(F131:F144)</f>
        <v>1148500</v>
      </c>
      <c r="G130" s="32">
        <f>SUM(G131:G146)</f>
        <v>1142403.19</v>
      </c>
      <c r="H130" s="32">
        <f>SUM(H131:H146)</f>
        <v>1329850</v>
      </c>
      <c r="I130" s="32">
        <v>1034400</v>
      </c>
      <c r="J130" s="32">
        <v>1307750</v>
      </c>
    </row>
    <row r="131" spans="1:10" x14ac:dyDescent="0.3">
      <c r="A131">
        <v>6419</v>
      </c>
      <c r="B131" s="141" t="s">
        <v>91</v>
      </c>
      <c r="C131" s="148"/>
      <c r="D131" s="148"/>
      <c r="E131" s="148"/>
      <c r="F131" s="10">
        <v>7000</v>
      </c>
      <c r="G131" s="10">
        <v>6995.34</v>
      </c>
      <c r="H131" s="10">
        <v>1000</v>
      </c>
      <c r="I131" s="10"/>
      <c r="J131" s="10"/>
    </row>
    <row r="132" spans="1:10" ht="13.5" customHeight="1" x14ac:dyDescent="0.3">
      <c r="A132">
        <v>6413</v>
      </c>
      <c r="B132" s="42" t="s">
        <v>92</v>
      </c>
      <c r="E132" s="1"/>
      <c r="F132" s="10">
        <v>100</v>
      </c>
      <c r="G132" s="10">
        <v>23.54</v>
      </c>
      <c r="H132" s="10">
        <v>50</v>
      </c>
      <c r="I132" s="10"/>
      <c r="J132" s="10"/>
    </row>
    <row r="133" spans="1:10" ht="12.75" hidden="1" customHeight="1" x14ac:dyDescent="0.3">
      <c r="A133">
        <v>6416</v>
      </c>
      <c r="B133" t="s">
        <v>93</v>
      </c>
      <c r="I133" s="10"/>
      <c r="J133" s="10"/>
    </row>
    <row r="134" spans="1:10" ht="15" hidden="1" customHeight="1" x14ac:dyDescent="0.3">
      <c r="A134">
        <v>6421</v>
      </c>
      <c r="B134" t="s">
        <v>94</v>
      </c>
      <c r="I134" s="10"/>
      <c r="J134" s="10"/>
    </row>
    <row r="135" spans="1:10" x14ac:dyDescent="0.3">
      <c r="A135">
        <v>6421</v>
      </c>
      <c r="B135" t="s">
        <v>95</v>
      </c>
      <c r="F135" s="10">
        <v>6000</v>
      </c>
      <c r="H135" s="10">
        <v>6000</v>
      </c>
      <c r="I135" s="10"/>
      <c r="J135" s="10"/>
    </row>
    <row r="136" spans="1:10" x14ac:dyDescent="0.3">
      <c r="A136">
        <v>6421</v>
      </c>
      <c r="B136" t="s">
        <v>96</v>
      </c>
      <c r="F136" s="10">
        <v>15000</v>
      </c>
      <c r="H136" s="10">
        <v>15000</v>
      </c>
      <c r="I136" s="10"/>
      <c r="J136" s="10"/>
    </row>
    <row r="137" spans="1:10" x14ac:dyDescent="0.3">
      <c r="A137">
        <v>6422</v>
      </c>
      <c r="B137" t="s">
        <v>97</v>
      </c>
      <c r="F137" s="10">
        <v>70000</v>
      </c>
      <c r="G137" s="10">
        <f>4567.5+1023.5+3145+8000+12102.58+6835+14320.38+6020.52+6085.47-1402.26</f>
        <v>60697.689999999995</v>
      </c>
      <c r="H137" s="10">
        <v>60000</v>
      </c>
      <c r="I137" s="10"/>
      <c r="J137" s="10"/>
    </row>
    <row r="138" spans="1:10" x14ac:dyDescent="0.3">
      <c r="A138">
        <v>6422</v>
      </c>
      <c r="B138" s="1" t="s">
        <v>98</v>
      </c>
      <c r="F138" s="10">
        <v>3000</v>
      </c>
      <c r="G138" s="10">
        <v>1402.26</v>
      </c>
      <c r="H138" s="10">
        <v>1500</v>
      </c>
      <c r="I138" s="10"/>
      <c r="J138" s="10"/>
    </row>
    <row r="139" spans="1:10" x14ac:dyDescent="0.3">
      <c r="A139">
        <v>6422</v>
      </c>
      <c r="B139" s="1" t="s">
        <v>99</v>
      </c>
      <c r="F139" s="10">
        <v>8000</v>
      </c>
      <c r="G139" s="10">
        <v>6390</v>
      </c>
      <c r="H139" s="10">
        <v>7000</v>
      </c>
      <c r="I139" s="10"/>
      <c r="J139" s="10"/>
    </row>
    <row r="140" spans="1:10" x14ac:dyDescent="0.3">
      <c r="A140">
        <v>6422</v>
      </c>
      <c r="B140" s="1" t="s">
        <v>100</v>
      </c>
      <c r="F140" s="10">
        <v>1000</v>
      </c>
      <c r="G140" s="10">
        <v>492.05</v>
      </c>
      <c r="H140" s="10">
        <v>1000</v>
      </c>
      <c r="I140" s="10"/>
      <c r="J140" s="10"/>
    </row>
    <row r="141" spans="1:10" x14ac:dyDescent="0.3">
      <c r="A141">
        <v>6422</v>
      </c>
      <c r="B141" s="1" t="s">
        <v>101</v>
      </c>
      <c r="F141" s="10">
        <v>200</v>
      </c>
      <c r="H141" s="10">
        <v>100</v>
      </c>
      <c r="I141" s="10"/>
      <c r="J141" s="10"/>
    </row>
    <row r="142" spans="1:10" x14ac:dyDescent="0.3">
      <c r="A142">
        <v>6423</v>
      </c>
      <c r="B142" t="s">
        <v>102</v>
      </c>
      <c r="F142" s="10">
        <v>100</v>
      </c>
      <c r="G142" s="10">
        <v>15.49</v>
      </c>
      <c r="H142" s="10">
        <v>100</v>
      </c>
      <c r="I142" s="10"/>
      <c r="J142" s="10"/>
    </row>
    <row r="143" spans="1:10" x14ac:dyDescent="0.3">
      <c r="A143">
        <v>6423</v>
      </c>
      <c r="B143" t="s">
        <v>103</v>
      </c>
      <c r="F143" s="10">
        <v>1000000</v>
      </c>
      <c r="G143" s="10">
        <v>1028286.82</v>
      </c>
      <c r="H143" s="10">
        <v>1200000</v>
      </c>
      <c r="I143" s="10"/>
      <c r="J143" s="10"/>
    </row>
    <row r="144" spans="1:10" x14ac:dyDescent="0.3">
      <c r="A144">
        <v>6423</v>
      </c>
      <c r="B144" s="1" t="s">
        <v>104</v>
      </c>
      <c r="F144" s="10">
        <v>38100</v>
      </c>
      <c r="G144" s="10">
        <v>38100</v>
      </c>
      <c r="H144" s="10">
        <v>38100</v>
      </c>
      <c r="I144" s="10"/>
      <c r="J144" s="10"/>
    </row>
    <row r="145" spans="1:10" ht="2.25" customHeight="1" x14ac:dyDescent="0.3">
      <c r="A145">
        <v>6429</v>
      </c>
      <c r="B145" s="141" t="s">
        <v>105</v>
      </c>
      <c r="C145" s="141"/>
      <c r="D145" s="141"/>
      <c r="E145" s="141"/>
      <c r="H145" s="10">
        <f t="shared" ref="H145" si="6">F145+G145</f>
        <v>0</v>
      </c>
      <c r="I145" s="10"/>
      <c r="J145" s="10"/>
    </row>
    <row r="146" spans="1:10" x14ac:dyDescent="0.3">
      <c r="I146" s="10"/>
      <c r="J146" s="10"/>
    </row>
    <row r="147" spans="1:10" x14ac:dyDescent="0.3">
      <c r="A147" s="41"/>
      <c r="B147" s="31">
        <v>65</v>
      </c>
      <c r="C147" s="31" t="s">
        <v>106</v>
      </c>
      <c r="D147" s="31"/>
      <c r="E147" s="31"/>
      <c r="F147" s="32">
        <f t="shared" ref="F147" si="7">SUM(F148:F156)</f>
        <v>858100</v>
      </c>
      <c r="G147" s="32">
        <f>SUM(G148:G156)</f>
        <v>749237.42000000016</v>
      </c>
      <c r="H147" s="32">
        <f>SUM(H148:H156)</f>
        <v>1036500</v>
      </c>
      <c r="I147" s="32">
        <v>1040000</v>
      </c>
      <c r="J147" s="32">
        <v>1038800</v>
      </c>
    </row>
    <row r="148" spans="1:10" s="1" customFormat="1" ht="13.2" x14ac:dyDescent="0.25">
      <c r="A148" s="1">
        <v>6512</v>
      </c>
      <c r="B148" s="1" t="s">
        <v>107</v>
      </c>
      <c r="F148" s="36">
        <v>90000</v>
      </c>
      <c r="G148" s="36">
        <v>76934.850000000006</v>
      </c>
      <c r="H148" s="36">
        <v>88000</v>
      </c>
      <c r="I148" s="36"/>
      <c r="J148" s="36"/>
    </row>
    <row r="149" spans="1:10" s="1" customFormat="1" ht="13.2" x14ac:dyDescent="0.25">
      <c r="A149" s="1">
        <v>6522</v>
      </c>
      <c r="B149" s="1" t="s">
        <v>108</v>
      </c>
      <c r="F149" s="36">
        <v>3000</v>
      </c>
      <c r="G149" s="36">
        <v>1035.71</v>
      </c>
      <c r="H149" s="36">
        <v>3000</v>
      </c>
      <c r="I149" s="36"/>
      <c r="J149" s="36"/>
    </row>
    <row r="150" spans="1:10" s="1" customFormat="1" ht="13.2" x14ac:dyDescent="0.25">
      <c r="A150" s="1">
        <v>6524</v>
      </c>
      <c r="B150" s="1" t="s">
        <v>109</v>
      </c>
      <c r="F150" s="36">
        <v>450000</v>
      </c>
      <c r="G150" s="36">
        <v>572859.68000000005</v>
      </c>
      <c r="H150" s="36">
        <v>600000</v>
      </c>
      <c r="I150" s="36"/>
      <c r="J150" s="36"/>
    </row>
    <row r="151" spans="1:10" ht="12.75" customHeight="1" x14ac:dyDescent="0.3">
      <c r="A151">
        <v>6531</v>
      </c>
      <c r="B151" t="s">
        <v>110</v>
      </c>
      <c r="F151" s="10">
        <v>6000</v>
      </c>
      <c r="G151" s="10">
        <v>7723.89</v>
      </c>
      <c r="H151" s="36">
        <v>6000</v>
      </c>
      <c r="I151" s="10"/>
      <c r="J151" s="10"/>
    </row>
    <row r="152" spans="1:10" x14ac:dyDescent="0.3">
      <c r="A152">
        <v>6532</v>
      </c>
      <c r="B152" t="s">
        <v>111</v>
      </c>
      <c r="F152" s="10">
        <v>120000</v>
      </c>
      <c r="G152" s="10">
        <v>88314.31</v>
      </c>
      <c r="H152" s="36">
        <v>115000</v>
      </c>
      <c r="I152" s="10"/>
      <c r="J152" s="10"/>
    </row>
    <row r="153" spans="1:10" x14ac:dyDescent="0.3">
      <c r="A153">
        <v>6526</v>
      </c>
      <c r="B153" t="s">
        <v>112</v>
      </c>
      <c r="E153" s="1" t="s">
        <v>113</v>
      </c>
      <c r="F153" s="10">
        <v>5000</v>
      </c>
      <c r="G153" s="10">
        <f>200+1432.22</f>
        <v>1632.22</v>
      </c>
      <c r="H153" s="36">
        <v>4000</v>
      </c>
      <c r="I153" s="10"/>
      <c r="J153" s="10"/>
    </row>
    <row r="154" spans="1:10" x14ac:dyDescent="0.3">
      <c r="A154">
        <v>6526</v>
      </c>
      <c r="B154" s="1" t="s">
        <v>114</v>
      </c>
      <c r="F154" s="10">
        <v>180000</v>
      </c>
      <c r="G154" s="40"/>
      <c r="H154" s="34">
        <v>220000</v>
      </c>
      <c r="I154" s="10"/>
      <c r="J154" s="10"/>
    </row>
    <row r="155" spans="1:10" x14ac:dyDescent="0.3">
      <c r="A155">
        <v>6513</v>
      </c>
      <c r="B155" s="1" t="s">
        <v>115</v>
      </c>
      <c r="F155" s="10">
        <v>100</v>
      </c>
      <c r="G155" s="10">
        <v>38.36</v>
      </c>
      <c r="H155" s="36"/>
      <c r="I155" s="10"/>
      <c r="J155" s="10"/>
    </row>
    <row r="156" spans="1:10" x14ac:dyDescent="0.3">
      <c r="A156">
        <v>6533</v>
      </c>
      <c r="B156" t="s">
        <v>116</v>
      </c>
      <c r="F156" s="10">
        <v>4000</v>
      </c>
      <c r="G156" s="10">
        <v>698.4</v>
      </c>
      <c r="H156" s="36">
        <v>500</v>
      </c>
      <c r="I156" s="10"/>
      <c r="J156" s="10"/>
    </row>
    <row r="157" spans="1:10" x14ac:dyDescent="0.3">
      <c r="A157" s="31">
        <v>66</v>
      </c>
      <c r="B157" s="31" t="s">
        <v>117</v>
      </c>
      <c r="C157" s="31"/>
      <c r="D157" s="31"/>
      <c r="E157" s="31"/>
      <c r="F157" s="32">
        <f>SUM(F158:F160)</f>
        <v>30000</v>
      </c>
      <c r="G157" s="32">
        <f t="shared" ref="G157" si="8">SUM(G158:G160)</f>
        <v>25560</v>
      </c>
      <c r="H157" s="32">
        <f>SUM(H158:H160)</f>
        <v>4000</v>
      </c>
      <c r="I157" s="32">
        <v>4000</v>
      </c>
      <c r="J157" s="32">
        <v>4000</v>
      </c>
    </row>
    <row r="158" spans="1:10" x14ac:dyDescent="0.3">
      <c r="A158">
        <v>6615</v>
      </c>
      <c r="B158" s="1" t="s">
        <v>118</v>
      </c>
      <c r="F158" s="10">
        <v>3000</v>
      </c>
      <c r="G158" s="10">
        <v>440</v>
      </c>
      <c r="H158" s="10">
        <v>2000</v>
      </c>
      <c r="I158" s="10"/>
      <c r="J158" s="10"/>
    </row>
    <row r="159" spans="1:10" x14ac:dyDescent="0.3">
      <c r="A159">
        <v>6615</v>
      </c>
      <c r="B159" s="1" t="s">
        <v>119</v>
      </c>
      <c r="F159" s="10">
        <v>2000</v>
      </c>
      <c r="G159" s="10">
        <v>120</v>
      </c>
      <c r="H159" s="10">
        <v>2000</v>
      </c>
      <c r="I159" s="10"/>
      <c r="J159" s="10"/>
    </row>
    <row r="160" spans="1:10" x14ac:dyDescent="0.3">
      <c r="A160">
        <v>6632</v>
      </c>
      <c r="B160" s="141" t="s">
        <v>120</v>
      </c>
      <c r="C160" s="141"/>
      <c r="D160" s="141"/>
      <c r="E160" s="141"/>
      <c r="F160" s="10">
        <v>25000</v>
      </c>
      <c r="G160" s="10">
        <v>25000</v>
      </c>
      <c r="I160" s="10"/>
      <c r="J160" s="10"/>
    </row>
    <row r="161" spans="1:14" x14ac:dyDescent="0.3">
      <c r="I161" s="10"/>
      <c r="J161" s="10"/>
    </row>
    <row r="162" spans="1:14" ht="15.6" x14ac:dyDescent="0.3">
      <c r="A162" s="129">
        <v>7</v>
      </c>
      <c r="B162" s="129" t="s">
        <v>36</v>
      </c>
      <c r="C162" s="129"/>
      <c r="D162" s="129"/>
      <c r="E162" s="129"/>
      <c r="I162" s="10"/>
      <c r="J162" s="10"/>
    </row>
    <row r="163" spans="1:14" x14ac:dyDescent="0.3">
      <c r="A163" s="31">
        <v>72</v>
      </c>
      <c r="B163" s="31" t="s">
        <v>121</v>
      </c>
      <c r="C163" s="31"/>
      <c r="D163" s="31"/>
      <c r="E163" s="31"/>
      <c r="F163" s="32">
        <f t="shared" ref="F163:J163" si="9">SUM(F164:F164)</f>
        <v>15000</v>
      </c>
      <c r="G163" s="32">
        <f t="shared" si="9"/>
        <v>15747.38</v>
      </c>
      <c r="H163" s="32">
        <f t="shared" si="9"/>
        <v>7000</v>
      </c>
      <c r="I163" s="32">
        <f t="shared" si="9"/>
        <v>5000</v>
      </c>
      <c r="J163" s="32">
        <f t="shared" si="9"/>
        <v>5000</v>
      </c>
    </row>
    <row r="164" spans="1:14" x14ac:dyDescent="0.3">
      <c r="A164">
        <v>7211</v>
      </c>
      <c r="B164" t="s">
        <v>122</v>
      </c>
      <c r="F164" s="10">
        <v>15000</v>
      </c>
      <c r="G164" s="10">
        <v>15747.38</v>
      </c>
      <c r="H164" s="10">
        <v>7000</v>
      </c>
      <c r="I164" s="10">
        <v>5000</v>
      </c>
      <c r="J164" s="10">
        <v>5000</v>
      </c>
    </row>
    <row r="165" spans="1:14" s="3" customFormat="1" x14ac:dyDescent="0.3">
      <c r="A165"/>
      <c r="B165"/>
      <c r="C165"/>
      <c r="D165"/>
      <c r="E165"/>
      <c r="F165" s="5"/>
      <c r="G165" s="5"/>
      <c r="H165" s="5"/>
      <c r="I165" s="5"/>
      <c r="J165" s="5"/>
    </row>
    <row r="166" spans="1:14" ht="15.6" x14ac:dyDescent="0.3">
      <c r="A166" s="43" t="s">
        <v>123</v>
      </c>
      <c r="B166" s="43"/>
      <c r="C166" s="43"/>
      <c r="D166" s="43"/>
      <c r="E166" s="43"/>
      <c r="F166" s="44">
        <f>F87+F95+F130+F147+F157+F163</f>
        <v>18611400</v>
      </c>
      <c r="G166" s="44">
        <f>G87+G95+G130+G147+G157+G163</f>
        <v>7511642.8299999991</v>
      </c>
      <c r="H166" s="44">
        <f>H87+H95+H130+H147+H157+H163</f>
        <v>13703722</v>
      </c>
      <c r="I166" s="44">
        <f>I87+I95+I130+I147+I157+I163</f>
        <v>9608400</v>
      </c>
      <c r="J166" s="44">
        <f>J87+J95+J130+J147+J157+J163</f>
        <v>15160900</v>
      </c>
      <c r="K166" s="10"/>
    </row>
    <row r="167" spans="1:14" ht="15.6" x14ac:dyDescent="0.3">
      <c r="A167" s="45"/>
      <c r="B167" s="45"/>
      <c r="C167" s="45"/>
      <c r="D167" s="45"/>
      <c r="E167" s="45"/>
      <c r="I167" s="10"/>
      <c r="J167" s="10"/>
    </row>
    <row r="168" spans="1:14" ht="15.6" x14ac:dyDescent="0.3">
      <c r="A168" s="46" t="s">
        <v>124</v>
      </c>
      <c r="B168" s="46"/>
      <c r="C168" s="46"/>
      <c r="D168" s="46"/>
      <c r="E168" s="46"/>
      <c r="F168" s="47">
        <v>1587840.27</v>
      </c>
      <c r="G168" s="47"/>
      <c r="H168" s="47">
        <v>278000</v>
      </c>
      <c r="I168" s="48">
        <v>268000</v>
      </c>
      <c r="J168" s="49"/>
    </row>
    <row r="169" spans="1:14" ht="15.6" x14ac:dyDescent="0.3">
      <c r="A169" s="45"/>
      <c r="B169" s="45"/>
      <c r="C169" s="45"/>
      <c r="D169" s="45"/>
      <c r="E169" s="45"/>
      <c r="I169" s="10"/>
      <c r="J169" s="50"/>
      <c r="K169" s="27"/>
      <c r="L169" s="27"/>
    </row>
    <row r="170" spans="1:14" s="131" customFormat="1" ht="15.6" x14ac:dyDescent="0.3">
      <c r="A170" s="163" t="s">
        <v>125</v>
      </c>
      <c r="B170" s="163"/>
      <c r="C170" s="163"/>
      <c r="D170" s="163"/>
      <c r="E170" s="163"/>
      <c r="F170" s="51">
        <f>F166+F168</f>
        <v>20199240.27</v>
      </c>
      <c r="G170" s="52"/>
      <c r="H170" s="51">
        <f>H166+H168</f>
        <v>13981722</v>
      </c>
      <c r="I170" s="51">
        <f>I166+I168</f>
        <v>9876400</v>
      </c>
      <c r="J170" s="51">
        <f t="shared" ref="J170" si="10">J166+J168</f>
        <v>15160900</v>
      </c>
      <c r="K170" s="27"/>
      <c r="L170" s="27"/>
    </row>
    <row r="171" spans="1:14" s="131" customFormat="1" ht="15.6" x14ac:dyDescent="0.3">
      <c r="A171" s="128"/>
      <c r="B171" s="128"/>
      <c r="C171" s="128"/>
      <c r="D171" s="128"/>
      <c r="E171" s="128"/>
      <c r="F171" s="52"/>
      <c r="G171" s="52"/>
      <c r="H171" s="51"/>
      <c r="I171" s="52"/>
      <c r="J171" s="21"/>
      <c r="K171" s="27"/>
      <c r="L171" s="27"/>
    </row>
    <row r="172" spans="1:14" ht="15.6" x14ac:dyDescent="0.3">
      <c r="A172" s="45"/>
      <c r="B172" s="45"/>
      <c r="C172" s="45"/>
      <c r="D172" s="45"/>
      <c r="E172" s="45"/>
      <c r="H172" s="40"/>
      <c r="I172" s="10"/>
      <c r="J172" s="53"/>
      <c r="K172" s="54"/>
      <c r="L172" s="55"/>
    </row>
    <row r="173" spans="1:14" ht="15.6" x14ac:dyDescent="0.3">
      <c r="A173" s="162" t="s">
        <v>126</v>
      </c>
      <c r="B173" s="162"/>
      <c r="C173" s="162"/>
      <c r="D173" s="162"/>
      <c r="E173" s="162"/>
      <c r="F173" s="162"/>
      <c r="G173" s="162"/>
      <c r="H173" s="162"/>
      <c r="I173" s="10"/>
      <c r="J173" s="53"/>
      <c r="K173" s="54"/>
      <c r="L173" s="55"/>
    </row>
    <row r="174" spans="1:14" ht="15.6" x14ac:dyDescent="0.3">
      <c r="A174" s="127"/>
      <c r="B174" s="127"/>
      <c r="C174" s="127"/>
      <c r="D174" s="127"/>
      <c r="E174" s="127"/>
      <c r="F174" s="127"/>
      <c r="G174" s="127"/>
      <c r="H174" s="127"/>
      <c r="I174" s="10"/>
      <c r="J174" s="50"/>
      <c r="K174" s="40">
        <f>I170-I179</f>
        <v>0</v>
      </c>
      <c r="L174" s="40">
        <f>H170-H179</f>
        <v>0</v>
      </c>
      <c r="N174" s="10">
        <f>J170-J179</f>
        <v>0</v>
      </c>
    </row>
    <row r="175" spans="1:14" ht="15.6" x14ac:dyDescent="0.3">
      <c r="A175" s="45"/>
      <c r="B175" s="45"/>
      <c r="C175" s="45"/>
      <c r="D175" s="45"/>
      <c r="E175" s="45"/>
      <c r="H175" s="40"/>
      <c r="I175" s="10"/>
      <c r="J175" s="34"/>
      <c r="K175" s="27"/>
      <c r="L175" s="27"/>
    </row>
    <row r="176" spans="1:14" x14ac:dyDescent="0.3">
      <c r="A176" s="56"/>
      <c r="B176" s="56"/>
      <c r="C176" s="56"/>
      <c r="D176" s="56"/>
      <c r="E176" s="56"/>
      <c r="I176" s="10"/>
      <c r="J176" s="10"/>
    </row>
    <row r="177" spans="1:12" ht="31.2" x14ac:dyDescent="0.3">
      <c r="F177" s="13" t="s">
        <v>29</v>
      </c>
      <c r="G177" s="14" t="s">
        <v>30</v>
      </c>
      <c r="H177" s="15" t="s">
        <v>31</v>
      </c>
      <c r="I177" s="16" t="s">
        <v>32</v>
      </c>
      <c r="J177" s="16" t="s">
        <v>33</v>
      </c>
    </row>
    <row r="178" spans="1:12" ht="15.6" x14ac:dyDescent="0.3">
      <c r="F178" s="13"/>
      <c r="G178" s="14"/>
      <c r="H178" s="15"/>
      <c r="I178" s="10"/>
      <c r="J178" s="10"/>
    </row>
    <row r="179" spans="1:12" ht="15.6" x14ac:dyDescent="0.3">
      <c r="A179" s="43" t="s">
        <v>127</v>
      </c>
      <c r="B179" s="43"/>
      <c r="C179" s="43"/>
      <c r="D179" s="43"/>
      <c r="E179" s="43"/>
      <c r="F179" s="44">
        <f>F180+F245</f>
        <v>20199240.27</v>
      </c>
      <c r="G179" s="44" t="e">
        <f>G180+G245</f>
        <v>#REF!</v>
      </c>
      <c r="H179" s="44">
        <f>H180+H245</f>
        <v>13981722</v>
      </c>
      <c r="I179" s="44">
        <f>I180+I245</f>
        <v>9876400</v>
      </c>
      <c r="J179" s="44">
        <f>J180+J245</f>
        <v>15160900</v>
      </c>
    </row>
    <row r="180" spans="1:12" ht="15.6" x14ac:dyDescent="0.3">
      <c r="A180" s="57" t="s">
        <v>128</v>
      </c>
      <c r="B180" s="57"/>
      <c r="C180" s="57"/>
      <c r="D180" s="57"/>
      <c r="E180" s="57"/>
      <c r="F180" s="58">
        <f t="shared" ref="F180:G180" si="11">F181</f>
        <v>496600</v>
      </c>
      <c r="G180" s="58">
        <f t="shared" si="11"/>
        <v>374849.65</v>
      </c>
      <c r="H180" s="58">
        <f>H181</f>
        <v>350800</v>
      </c>
      <c r="I180" s="58">
        <f t="shared" ref="I180:J180" si="12">I181</f>
        <v>303000</v>
      </c>
      <c r="J180" s="58">
        <f t="shared" si="12"/>
        <v>307000</v>
      </c>
    </row>
    <row r="181" spans="1:12" x14ac:dyDescent="0.3">
      <c r="A181" s="59" t="s">
        <v>129</v>
      </c>
      <c r="B181" s="59"/>
      <c r="C181" s="59"/>
      <c r="D181" s="59"/>
      <c r="E181" s="59"/>
      <c r="F181" s="60">
        <f>F182+F232</f>
        <v>496600</v>
      </c>
      <c r="G181" s="60">
        <f>G182+G232</f>
        <v>374849.65</v>
      </c>
      <c r="H181" s="60">
        <f>H182+H232</f>
        <v>350800</v>
      </c>
      <c r="I181" s="60">
        <f>I182+I232</f>
        <v>303000</v>
      </c>
      <c r="J181" s="60">
        <f>J182+J232</f>
        <v>307000</v>
      </c>
    </row>
    <row r="182" spans="1:12" x14ac:dyDescent="0.3">
      <c r="A182" s="61" t="s">
        <v>130</v>
      </c>
      <c r="B182" s="61"/>
      <c r="C182" s="61"/>
      <c r="D182" s="61"/>
      <c r="E182" s="61"/>
      <c r="F182" s="62">
        <f>F185+F210+F224</f>
        <v>465600</v>
      </c>
      <c r="G182" s="62">
        <f>G185+G210+G224</f>
        <v>353785.58</v>
      </c>
      <c r="H182" s="62">
        <f>H185+H210+H224</f>
        <v>294800</v>
      </c>
      <c r="I182" s="62">
        <f>I185+I210+I224</f>
        <v>296000</v>
      </c>
      <c r="J182" s="62">
        <f>J185+J210+J224</f>
        <v>301000</v>
      </c>
    </row>
    <row r="183" spans="1:12" x14ac:dyDescent="0.3">
      <c r="A183" s="63" t="s">
        <v>131</v>
      </c>
      <c r="B183" s="63"/>
      <c r="C183" s="63"/>
      <c r="D183" s="63"/>
      <c r="E183" s="63"/>
      <c r="F183" s="64"/>
      <c r="G183" s="64"/>
      <c r="H183" s="64"/>
      <c r="I183" s="64"/>
      <c r="J183" s="64"/>
    </row>
    <row r="184" spans="1:12" s="1" customFormat="1" ht="13.8" x14ac:dyDescent="0.25">
      <c r="A184" s="65" t="s">
        <v>132</v>
      </c>
      <c r="B184" s="66"/>
      <c r="C184" s="66"/>
      <c r="D184" s="66"/>
      <c r="E184" s="66"/>
      <c r="F184" s="67"/>
      <c r="G184" s="67"/>
      <c r="H184" s="67"/>
      <c r="I184" s="67"/>
      <c r="J184" s="67"/>
    </row>
    <row r="185" spans="1:12" x14ac:dyDescent="0.3">
      <c r="A185" s="68" t="s">
        <v>133</v>
      </c>
      <c r="B185" s="69"/>
      <c r="C185" s="69"/>
      <c r="D185" s="69"/>
      <c r="E185" s="69"/>
      <c r="F185" s="70">
        <f>F186</f>
        <v>307400</v>
      </c>
      <c r="G185" s="70">
        <f>G186</f>
        <v>202928.32</v>
      </c>
      <c r="H185" s="70">
        <f t="shared" ref="H185:J185" si="13">H186</f>
        <v>258300</v>
      </c>
      <c r="I185" s="70">
        <f t="shared" si="13"/>
        <v>260000</v>
      </c>
      <c r="J185" s="70">
        <f t="shared" si="13"/>
        <v>265000</v>
      </c>
    </row>
    <row r="186" spans="1:12" x14ac:dyDescent="0.3">
      <c r="A186" s="3">
        <v>3</v>
      </c>
      <c r="B186" s="3" t="s">
        <v>8</v>
      </c>
      <c r="C186" s="3"/>
      <c r="D186" s="3"/>
      <c r="E186" s="3"/>
      <c r="F186" s="5">
        <f>F187+F194+F206</f>
        <v>307400</v>
      </c>
      <c r="G186" s="5">
        <f>G187+G194+G206</f>
        <v>202928.32</v>
      </c>
      <c r="H186" s="5">
        <f>H187+H194+H206</f>
        <v>258300</v>
      </c>
      <c r="I186" s="5">
        <f>I187+I194+I206</f>
        <v>260000</v>
      </c>
      <c r="J186" s="5">
        <f t="shared" ref="J186" si="14">J187+J194+J206</f>
        <v>265000</v>
      </c>
    </row>
    <row r="187" spans="1:12" ht="16.5" customHeight="1" x14ac:dyDescent="0.3">
      <c r="A187" s="3">
        <v>31</v>
      </c>
      <c r="B187" s="3" t="s">
        <v>134</v>
      </c>
      <c r="C187" s="3"/>
      <c r="D187" s="3"/>
      <c r="E187" s="3"/>
      <c r="F187" s="5">
        <f t="shared" ref="F187:G187" si="15">F188+F192</f>
        <v>176000</v>
      </c>
      <c r="G187" s="5">
        <f t="shared" si="15"/>
        <v>144022.20000000001</v>
      </c>
      <c r="H187" s="5">
        <f>H188+H192</f>
        <v>179300</v>
      </c>
      <c r="I187" s="5">
        <v>180000</v>
      </c>
      <c r="J187" s="5">
        <v>185000</v>
      </c>
    </row>
    <row r="188" spans="1:12" ht="16.5" customHeight="1" x14ac:dyDescent="0.3">
      <c r="A188" s="3">
        <v>311</v>
      </c>
      <c r="B188" s="3" t="s">
        <v>135</v>
      </c>
      <c r="C188" s="3"/>
      <c r="D188" s="3"/>
      <c r="E188" s="3"/>
      <c r="F188" s="5">
        <f t="shared" ref="F188:G188" si="16">SUM(F189:F191)</f>
        <v>151000</v>
      </c>
      <c r="G188" s="5">
        <f t="shared" si="16"/>
        <v>123624.2</v>
      </c>
      <c r="H188" s="5">
        <f>SUM(H189:H191)</f>
        <v>153500</v>
      </c>
      <c r="I188" s="5"/>
      <c r="J188" s="5"/>
      <c r="K188">
        <f>12600*12</f>
        <v>151200</v>
      </c>
    </row>
    <row r="189" spans="1:12" ht="16.5" customHeight="1" x14ac:dyDescent="0.3">
      <c r="A189">
        <v>3111</v>
      </c>
      <c r="B189" t="s">
        <v>136</v>
      </c>
      <c r="F189" s="10">
        <v>106000</v>
      </c>
      <c r="G189" s="10">
        <v>87119.5</v>
      </c>
      <c r="H189" s="10">
        <v>106800</v>
      </c>
      <c r="I189" s="10"/>
      <c r="J189" s="10"/>
      <c r="K189" s="1">
        <f>8900*12</f>
        <v>106800</v>
      </c>
    </row>
    <row r="190" spans="1:12" x14ac:dyDescent="0.3">
      <c r="A190">
        <v>3111</v>
      </c>
      <c r="B190" t="s">
        <v>54</v>
      </c>
      <c r="F190" s="10">
        <v>15000</v>
      </c>
      <c r="G190" s="10">
        <v>11779.9</v>
      </c>
      <c r="H190" s="10">
        <v>15500</v>
      </c>
      <c r="I190" s="10"/>
      <c r="J190" s="5"/>
      <c r="K190" s="3"/>
      <c r="L190" s="3"/>
    </row>
    <row r="191" spans="1:12" x14ac:dyDescent="0.3">
      <c r="A191">
        <v>3111</v>
      </c>
      <c r="B191" t="s">
        <v>137</v>
      </c>
      <c r="F191" s="10">
        <v>30000</v>
      </c>
      <c r="G191" s="10">
        <v>24724.799999999999</v>
      </c>
      <c r="H191" s="10">
        <v>31200</v>
      </c>
      <c r="I191" s="10"/>
      <c r="J191" s="5"/>
      <c r="K191" s="3">
        <f>13000*12*20/100</f>
        <v>31200</v>
      </c>
      <c r="L191" s="3"/>
    </row>
    <row r="192" spans="1:12" x14ac:dyDescent="0.3">
      <c r="A192" s="3">
        <v>313</v>
      </c>
      <c r="B192" s="3" t="s">
        <v>138</v>
      </c>
      <c r="C192" s="3"/>
      <c r="D192" s="3"/>
      <c r="E192" s="3"/>
      <c r="F192" s="5">
        <f>F193</f>
        <v>25000</v>
      </c>
      <c r="G192" s="5">
        <f>G193</f>
        <v>20398</v>
      </c>
      <c r="H192" s="5">
        <f>H193</f>
        <v>25800</v>
      </c>
      <c r="I192" s="5"/>
      <c r="J192" s="5"/>
    </row>
    <row r="193" spans="1:13" ht="13.5" customHeight="1" x14ac:dyDescent="0.3">
      <c r="A193">
        <v>3132</v>
      </c>
      <c r="B193" t="s">
        <v>139</v>
      </c>
      <c r="F193" s="10">
        <v>25000</v>
      </c>
      <c r="G193" s="10">
        <v>20398</v>
      </c>
      <c r="H193" s="10">
        <v>25800</v>
      </c>
      <c r="I193" s="10"/>
      <c r="J193" s="10"/>
      <c r="K193">
        <f>13000*12*16.5/100</f>
        <v>25740</v>
      </c>
      <c r="L193" s="1">
        <f>2100*12</f>
        <v>25200</v>
      </c>
    </row>
    <row r="194" spans="1:13" s="3" customFormat="1" ht="13.5" customHeight="1" x14ac:dyDescent="0.25">
      <c r="A194" s="3">
        <v>32</v>
      </c>
      <c r="B194" s="3" t="s">
        <v>140</v>
      </c>
      <c r="F194" s="5">
        <f>F195+F198+F200</f>
        <v>116400</v>
      </c>
      <c r="G194" s="5">
        <f>G195+G198+G200</f>
        <v>58906.12</v>
      </c>
      <c r="H194" s="5">
        <f>H195+H198+H200</f>
        <v>64000</v>
      </c>
      <c r="I194" s="5">
        <v>65000</v>
      </c>
      <c r="J194" s="5">
        <v>65000</v>
      </c>
    </row>
    <row r="195" spans="1:13" s="3" customFormat="1" ht="13.5" customHeight="1" x14ac:dyDescent="0.3">
      <c r="A195" s="3">
        <v>321</v>
      </c>
      <c r="B195" s="3" t="s">
        <v>141</v>
      </c>
      <c r="F195" s="5">
        <f t="shared" ref="F195:H195" si="17">SUM(F196:F197)</f>
        <v>9000</v>
      </c>
      <c r="G195" s="5">
        <f t="shared" si="17"/>
        <v>1340</v>
      </c>
      <c r="H195" s="5">
        <f t="shared" si="17"/>
        <v>7000</v>
      </c>
      <c r="I195" s="5"/>
      <c r="J195" s="5"/>
      <c r="K195"/>
      <c r="L195"/>
    </row>
    <row r="196" spans="1:13" ht="13.5" customHeight="1" x14ac:dyDescent="0.3">
      <c r="A196">
        <v>3211</v>
      </c>
      <c r="B196" t="s">
        <v>142</v>
      </c>
      <c r="F196" s="10">
        <v>7000</v>
      </c>
      <c r="G196" s="10">
        <v>1340</v>
      </c>
      <c r="H196" s="10">
        <v>7000</v>
      </c>
      <c r="I196" s="10"/>
      <c r="J196" s="10"/>
    </row>
    <row r="197" spans="1:13" ht="13.5" customHeight="1" x14ac:dyDescent="0.3">
      <c r="A197">
        <v>3213</v>
      </c>
      <c r="B197" t="s">
        <v>143</v>
      </c>
      <c r="F197" s="10">
        <v>2000</v>
      </c>
      <c r="I197" s="10"/>
      <c r="J197" s="5"/>
      <c r="K197" s="3"/>
      <c r="L197" s="3"/>
    </row>
    <row r="198" spans="1:13" s="3" customFormat="1" ht="13.5" customHeight="1" x14ac:dyDescent="0.3">
      <c r="A198" s="3">
        <v>323</v>
      </c>
      <c r="B198" s="3" t="s">
        <v>144</v>
      </c>
      <c r="F198" s="5">
        <f t="shared" ref="F198:H198" si="18">F199</f>
        <v>23000</v>
      </c>
      <c r="G198" s="5">
        <f t="shared" si="18"/>
        <v>16875</v>
      </c>
      <c r="H198" s="5">
        <f t="shared" si="18"/>
        <v>0</v>
      </c>
      <c r="I198" s="5"/>
      <c r="J198" s="5"/>
      <c r="K198"/>
      <c r="L198"/>
    </row>
    <row r="199" spans="1:13" ht="13.5" customHeight="1" x14ac:dyDescent="0.3">
      <c r="A199">
        <v>3237</v>
      </c>
      <c r="B199" t="s">
        <v>145</v>
      </c>
      <c r="F199" s="10">
        <v>23000</v>
      </c>
      <c r="G199" s="10">
        <v>16875</v>
      </c>
      <c r="H199" s="40"/>
      <c r="I199" s="10"/>
      <c r="J199" s="10"/>
      <c r="K199" s="1">
        <f>1875*12</f>
        <v>22500</v>
      </c>
      <c r="M199" s="27"/>
    </row>
    <row r="200" spans="1:13" s="3" customFormat="1" ht="13.5" customHeight="1" x14ac:dyDescent="0.3">
      <c r="A200" s="3">
        <v>329</v>
      </c>
      <c r="B200" s="3" t="s">
        <v>146</v>
      </c>
      <c r="F200" s="5">
        <f>SUM(F201:F205)</f>
        <v>84400</v>
      </c>
      <c r="G200" s="5">
        <f>SUM(G201:G205)</f>
        <v>40691.120000000003</v>
      </c>
      <c r="H200" s="5">
        <f>SUM(H201:H205)</f>
        <v>57000</v>
      </c>
      <c r="I200" s="5"/>
      <c r="J200" s="5"/>
      <c r="K200"/>
      <c r="L200"/>
    </row>
    <row r="201" spans="1:13" ht="13.5" customHeight="1" x14ac:dyDescent="0.3">
      <c r="A201">
        <v>3291</v>
      </c>
      <c r="B201" t="s">
        <v>147</v>
      </c>
      <c r="F201" s="10">
        <v>17400</v>
      </c>
      <c r="G201" s="10">
        <v>17346.87</v>
      </c>
      <c r="I201" s="10"/>
      <c r="J201" s="10"/>
    </row>
    <row r="202" spans="1:13" ht="13.5" customHeight="1" x14ac:dyDescent="0.3">
      <c r="A202">
        <v>3293</v>
      </c>
      <c r="B202" t="s">
        <v>148</v>
      </c>
      <c r="F202" s="10">
        <v>25000</v>
      </c>
      <c r="G202" s="10">
        <v>13424.79</v>
      </c>
      <c r="H202" s="10">
        <v>25000</v>
      </c>
      <c r="I202" s="10"/>
      <c r="J202" s="5"/>
      <c r="K202" s="3"/>
      <c r="L202" s="3"/>
    </row>
    <row r="203" spans="1:13" ht="13.5" customHeight="1" x14ac:dyDescent="0.3">
      <c r="A203">
        <v>3293</v>
      </c>
      <c r="B203" t="s">
        <v>149</v>
      </c>
      <c r="F203" s="10">
        <v>10000</v>
      </c>
      <c r="G203" s="10">
        <f>15798.1-3750-1800-2000</f>
        <v>8248.1</v>
      </c>
      <c r="H203" s="10">
        <v>10000</v>
      </c>
      <c r="I203" s="10"/>
      <c r="J203" s="5"/>
      <c r="K203" s="3"/>
      <c r="L203" s="3"/>
    </row>
    <row r="204" spans="1:13" ht="13.5" customHeight="1" x14ac:dyDescent="0.3">
      <c r="A204">
        <v>3293</v>
      </c>
      <c r="B204" t="s">
        <v>150</v>
      </c>
      <c r="F204" s="10">
        <v>12000</v>
      </c>
      <c r="G204" s="10">
        <v>1671.36</v>
      </c>
      <c r="H204" s="10">
        <v>12000</v>
      </c>
      <c r="I204" s="10"/>
      <c r="J204" s="10"/>
    </row>
    <row r="205" spans="1:13" ht="13.5" customHeight="1" x14ac:dyDescent="0.3">
      <c r="A205">
        <v>3293</v>
      </c>
      <c r="B205" t="s">
        <v>151</v>
      </c>
      <c r="F205" s="10">
        <v>20000</v>
      </c>
      <c r="H205" s="10">
        <v>10000</v>
      </c>
      <c r="I205" s="10"/>
      <c r="J205" s="10"/>
    </row>
    <row r="206" spans="1:13" s="3" customFormat="1" ht="13.5" customHeight="1" x14ac:dyDescent="0.25">
      <c r="A206" s="3">
        <v>38</v>
      </c>
      <c r="B206" s="3" t="s">
        <v>152</v>
      </c>
      <c r="F206" s="5">
        <f t="shared" ref="F206:H207" si="19">F207</f>
        <v>15000</v>
      </c>
      <c r="G206" s="5">
        <f t="shared" si="19"/>
        <v>0</v>
      </c>
      <c r="H206" s="5">
        <f t="shared" si="19"/>
        <v>15000</v>
      </c>
      <c r="I206" s="5">
        <v>15000</v>
      </c>
      <c r="J206" s="5">
        <v>15000</v>
      </c>
      <c r="K206" s="126"/>
      <c r="L206" s="126"/>
    </row>
    <row r="207" spans="1:13" s="3" customFormat="1" ht="13.5" customHeight="1" x14ac:dyDescent="0.25">
      <c r="A207" s="3">
        <v>381</v>
      </c>
      <c r="B207" s="140" t="s">
        <v>153</v>
      </c>
      <c r="C207" s="140"/>
      <c r="D207" s="140"/>
      <c r="E207" s="140"/>
      <c r="F207" s="5">
        <f t="shared" si="19"/>
        <v>15000</v>
      </c>
      <c r="G207" s="5">
        <f t="shared" si="19"/>
        <v>0</v>
      </c>
      <c r="H207" s="5">
        <f t="shared" si="19"/>
        <v>15000</v>
      </c>
      <c r="I207" s="5"/>
      <c r="J207" s="5"/>
    </row>
    <row r="208" spans="1:13" ht="13.5" customHeight="1" x14ac:dyDescent="0.3">
      <c r="A208">
        <v>381</v>
      </c>
      <c r="B208" s="1" t="s">
        <v>154</v>
      </c>
      <c r="F208" s="10">
        <v>15000</v>
      </c>
      <c r="H208" s="10">
        <v>15000</v>
      </c>
      <c r="I208" s="10"/>
      <c r="J208" s="5"/>
      <c r="K208" s="3"/>
      <c r="L208" s="3"/>
    </row>
    <row r="209" spans="1:12" ht="13.5" customHeight="1" x14ac:dyDescent="0.3">
      <c r="I209" s="10"/>
      <c r="J209" s="10"/>
    </row>
    <row r="210" spans="1:12" s="3" customFormat="1" ht="13.5" customHeight="1" x14ac:dyDescent="0.3">
      <c r="A210" s="151" t="s">
        <v>155</v>
      </c>
      <c r="B210" s="151"/>
      <c r="C210" s="151"/>
      <c r="D210" s="151"/>
      <c r="E210" s="151"/>
      <c r="F210" s="70">
        <f t="shared" ref="F210:J210" si="20">F214+F217</f>
        <v>35000</v>
      </c>
      <c r="G210" s="70">
        <f t="shared" si="20"/>
        <v>27755.05</v>
      </c>
      <c r="H210" s="70">
        <f>H214+H217</f>
        <v>36500</v>
      </c>
      <c r="I210" s="70">
        <f t="shared" si="20"/>
        <v>36000</v>
      </c>
      <c r="J210" s="70">
        <f t="shared" si="20"/>
        <v>36000</v>
      </c>
      <c r="K210"/>
      <c r="L210"/>
    </row>
    <row r="211" spans="1:12" s="126" customFormat="1" ht="13.5" customHeight="1" x14ac:dyDescent="0.25">
      <c r="A211" s="144" t="s">
        <v>132</v>
      </c>
      <c r="B211" s="144"/>
      <c r="C211" s="144"/>
      <c r="D211" s="144"/>
      <c r="E211" s="144"/>
      <c r="F211" s="71"/>
      <c r="G211" s="72"/>
      <c r="H211" s="72"/>
      <c r="I211" s="72"/>
      <c r="J211" s="67"/>
      <c r="K211" s="1"/>
      <c r="L211" s="1"/>
    </row>
    <row r="212" spans="1:12" s="3" customFormat="1" ht="13.5" customHeight="1" x14ac:dyDescent="0.3">
      <c r="F212" s="5"/>
      <c r="G212" s="5"/>
      <c r="H212" s="5"/>
      <c r="I212" s="5"/>
      <c r="J212" s="10"/>
      <c r="K212"/>
      <c r="L212"/>
    </row>
    <row r="213" spans="1:12" s="3" customFormat="1" ht="13.5" customHeight="1" x14ac:dyDescent="0.3">
      <c r="A213" s="3">
        <v>32</v>
      </c>
      <c r="B213" s="3" t="s">
        <v>140</v>
      </c>
      <c r="F213" s="5"/>
      <c r="G213" s="5"/>
      <c r="H213" s="5"/>
      <c r="I213" s="5"/>
      <c r="J213" s="10"/>
      <c r="K213"/>
      <c r="L213"/>
    </row>
    <row r="214" spans="1:12" ht="12.75" customHeight="1" x14ac:dyDescent="0.3">
      <c r="A214" s="3">
        <v>329</v>
      </c>
      <c r="B214" s="3" t="s">
        <v>156</v>
      </c>
      <c r="C214" s="3"/>
      <c r="D214" s="3"/>
      <c r="E214" s="3"/>
      <c r="F214" s="5">
        <f t="shared" ref="F214:G214" si="21">SUM(F215:F216)</f>
        <v>22000</v>
      </c>
      <c r="G214" s="5">
        <f t="shared" si="21"/>
        <v>19379.349999999999</v>
      </c>
      <c r="H214" s="5">
        <f>SUM(H215:H216)</f>
        <v>25500</v>
      </c>
      <c r="I214" s="5">
        <v>26000</v>
      </c>
      <c r="J214" s="5">
        <v>26000</v>
      </c>
    </row>
    <row r="215" spans="1:12" x14ac:dyDescent="0.3">
      <c r="A215">
        <v>3291</v>
      </c>
      <c r="B215" t="s">
        <v>157</v>
      </c>
      <c r="F215" s="10">
        <v>21000</v>
      </c>
      <c r="G215" s="10">
        <v>19092.68</v>
      </c>
      <c r="H215" s="10">
        <v>25000</v>
      </c>
      <c r="I215" s="10"/>
      <c r="J215" s="10"/>
      <c r="K215">
        <f>2500*10</f>
        <v>25000</v>
      </c>
    </row>
    <row r="216" spans="1:12" s="1" customFormat="1" x14ac:dyDescent="0.3">
      <c r="A216" s="1">
        <v>3291</v>
      </c>
      <c r="B216" s="1" t="s">
        <v>158</v>
      </c>
      <c r="F216" s="36">
        <v>1000</v>
      </c>
      <c r="G216" s="36">
        <v>286.67</v>
      </c>
      <c r="H216" s="10">
        <v>500</v>
      </c>
      <c r="I216" s="36"/>
      <c r="J216" s="10"/>
      <c r="K216"/>
      <c r="L216"/>
    </row>
    <row r="217" spans="1:12" x14ac:dyDescent="0.3">
      <c r="A217" s="3">
        <v>38</v>
      </c>
      <c r="B217" s="3" t="s">
        <v>152</v>
      </c>
      <c r="F217" s="5">
        <f t="shared" ref="F217:H217" si="22">F218</f>
        <v>13000</v>
      </c>
      <c r="G217" s="5">
        <f t="shared" si="22"/>
        <v>8375.7000000000007</v>
      </c>
      <c r="H217" s="5">
        <f t="shared" si="22"/>
        <v>11000</v>
      </c>
      <c r="I217" s="5">
        <v>10000</v>
      </c>
      <c r="J217" s="5">
        <v>10000</v>
      </c>
      <c r="K217" s="2"/>
      <c r="L217" s="2"/>
    </row>
    <row r="218" spans="1:12" x14ac:dyDescent="0.3">
      <c r="A218" s="3">
        <v>381</v>
      </c>
      <c r="B218" s="3" t="s">
        <v>159</v>
      </c>
      <c r="F218" s="5">
        <f t="shared" ref="F218:H218" si="23">SUM(F219:F220)</f>
        <v>13000</v>
      </c>
      <c r="G218" s="5">
        <f t="shared" si="23"/>
        <v>8375.7000000000007</v>
      </c>
      <c r="H218" s="5">
        <f t="shared" si="23"/>
        <v>11000</v>
      </c>
      <c r="I218" s="5"/>
      <c r="J218" s="5"/>
      <c r="K218" s="130"/>
      <c r="L218" s="130"/>
    </row>
    <row r="219" spans="1:12" x14ac:dyDescent="0.3">
      <c r="A219" s="1">
        <v>3811</v>
      </c>
      <c r="B219" s="1" t="s">
        <v>160</v>
      </c>
      <c r="C219" s="1"/>
      <c r="D219" s="1"/>
      <c r="E219" s="1"/>
      <c r="F219" s="10">
        <v>1000</v>
      </c>
      <c r="H219" s="10">
        <v>1000</v>
      </c>
      <c r="I219" s="10"/>
      <c r="J219" s="73"/>
      <c r="K219" s="130"/>
      <c r="L219" s="130"/>
    </row>
    <row r="220" spans="1:12" x14ac:dyDescent="0.3">
      <c r="A220" s="1">
        <v>3811</v>
      </c>
      <c r="B220" s="1" t="s">
        <v>161</v>
      </c>
      <c r="C220" s="1"/>
      <c r="D220" s="1"/>
      <c r="E220" s="1"/>
      <c r="F220" s="10">
        <v>12000</v>
      </c>
      <c r="G220" s="10">
        <f>1390.58+3175+2021.44+851.8+936.88</f>
        <v>8375.7000000000007</v>
      </c>
      <c r="H220" s="10">
        <v>10000</v>
      </c>
      <c r="I220" s="10"/>
      <c r="J220" s="74"/>
      <c r="K220" s="75"/>
      <c r="L220" s="75"/>
    </row>
    <row r="221" spans="1:12" x14ac:dyDescent="0.3">
      <c r="A221" s="1"/>
      <c r="B221" s="1"/>
      <c r="C221" s="1"/>
      <c r="D221" s="1"/>
      <c r="E221" s="1"/>
      <c r="I221" s="10"/>
      <c r="J221" s="74"/>
      <c r="K221" s="75"/>
      <c r="L221" s="75"/>
    </row>
    <row r="222" spans="1:12" x14ac:dyDescent="0.3">
      <c r="A222" s="1"/>
      <c r="B222" s="1"/>
      <c r="C222" s="1"/>
      <c r="D222" s="1"/>
      <c r="E222" s="1"/>
      <c r="I222" s="10"/>
      <c r="J222" s="74"/>
      <c r="K222" s="75"/>
      <c r="L222" s="75"/>
    </row>
    <row r="223" spans="1:12" x14ac:dyDescent="0.3">
      <c r="B223" s="1"/>
      <c r="I223" s="10"/>
      <c r="J223" s="5"/>
      <c r="K223" s="3"/>
      <c r="L223" s="3"/>
    </row>
    <row r="224" spans="1:12" s="2" customFormat="1" ht="13.8" x14ac:dyDescent="0.25">
      <c r="A224" s="68" t="s">
        <v>162</v>
      </c>
      <c r="B224" s="68"/>
      <c r="C224" s="68"/>
      <c r="D224" s="68"/>
      <c r="E224" s="68"/>
      <c r="F224" s="76">
        <f t="shared" ref="F224:H224" si="24">F229</f>
        <v>123200</v>
      </c>
      <c r="G224" s="76">
        <f t="shared" si="24"/>
        <v>123102.21</v>
      </c>
      <c r="H224" s="76">
        <f t="shared" si="24"/>
        <v>0</v>
      </c>
      <c r="I224" s="77"/>
      <c r="J224" s="78"/>
      <c r="K224" s="3"/>
      <c r="L224" s="3"/>
    </row>
    <row r="225" spans="1:12" s="130" customFormat="1" x14ac:dyDescent="0.3">
      <c r="A225" s="142" t="s">
        <v>132</v>
      </c>
      <c r="B225" s="142"/>
      <c r="C225" s="142"/>
      <c r="D225" s="142"/>
      <c r="E225" s="142"/>
      <c r="F225" s="79"/>
      <c r="G225" s="79"/>
      <c r="H225" s="79"/>
      <c r="I225" s="79"/>
      <c r="J225" s="80"/>
      <c r="K225"/>
      <c r="L225"/>
    </row>
    <row r="226" spans="1:12" s="130" customFormat="1" x14ac:dyDescent="0.3">
      <c r="A226" s="142" t="s">
        <v>163</v>
      </c>
      <c r="B226" s="142"/>
      <c r="C226" s="142"/>
      <c r="D226" s="142"/>
      <c r="E226" s="142"/>
      <c r="F226" s="79"/>
      <c r="G226" s="79"/>
      <c r="H226" s="79"/>
      <c r="I226" s="79"/>
      <c r="J226" s="80"/>
      <c r="K226"/>
      <c r="L226"/>
    </row>
    <row r="227" spans="1:12" s="75" customFormat="1" ht="13.8" x14ac:dyDescent="0.25">
      <c r="A227" s="81"/>
      <c r="B227" s="81"/>
      <c r="C227" s="81"/>
      <c r="D227" s="81"/>
      <c r="E227" s="81"/>
      <c r="F227" s="74"/>
      <c r="G227" s="74"/>
      <c r="H227" s="74"/>
      <c r="I227" s="74"/>
      <c r="J227" s="5"/>
      <c r="K227" s="3"/>
      <c r="L227" s="3"/>
    </row>
    <row r="228" spans="1:12" s="3" customFormat="1" ht="13.2" x14ac:dyDescent="0.25">
      <c r="A228" s="3">
        <v>32</v>
      </c>
      <c r="B228" s="3" t="s">
        <v>140</v>
      </c>
      <c r="F228" s="5"/>
      <c r="G228" s="5">
        <f>G229</f>
        <v>123102.21</v>
      </c>
      <c r="H228" s="5">
        <f>H229</f>
        <v>0</v>
      </c>
      <c r="I228" s="5"/>
      <c r="J228" s="5"/>
    </row>
    <row r="229" spans="1:12" s="3" customFormat="1" ht="13.2" x14ac:dyDescent="0.25">
      <c r="A229" s="3">
        <v>329</v>
      </c>
      <c r="B229" s="3" t="s">
        <v>146</v>
      </c>
      <c r="F229" s="5">
        <f t="shared" ref="F229:H229" si="25">F230</f>
        <v>123200</v>
      </c>
      <c r="G229" s="5">
        <f t="shared" si="25"/>
        <v>123102.21</v>
      </c>
      <c r="H229" s="5">
        <f t="shared" si="25"/>
        <v>0</v>
      </c>
      <c r="I229" s="5"/>
      <c r="J229" s="5"/>
    </row>
    <row r="230" spans="1:12" x14ac:dyDescent="0.3">
      <c r="A230">
        <v>3291</v>
      </c>
      <c r="B230" s="1" t="s">
        <v>164</v>
      </c>
      <c r="F230" s="10">
        <v>123200</v>
      </c>
      <c r="G230" s="10">
        <v>123102.21</v>
      </c>
      <c r="I230" s="10"/>
      <c r="J230" s="5"/>
      <c r="K230" s="3"/>
      <c r="L230" s="3"/>
    </row>
    <row r="231" spans="1:12" x14ac:dyDescent="0.3">
      <c r="B231" s="1"/>
      <c r="I231" s="10"/>
      <c r="J231" s="5"/>
      <c r="K231" s="3"/>
      <c r="L231" s="3"/>
    </row>
    <row r="232" spans="1:12" s="3" customFormat="1" x14ac:dyDescent="0.3">
      <c r="A232" s="61" t="s">
        <v>165</v>
      </c>
      <c r="B232" s="61"/>
      <c r="C232" s="61"/>
      <c r="D232" s="61"/>
      <c r="E232" s="61"/>
      <c r="F232" s="82">
        <f t="shared" ref="F232:G232" si="26">F237</f>
        <v>31000</v>
      </c>
      <c r="G232" s="82">
        <f t="shared" si="26"/>
        <v>21064.07</v>
      </c>
      <c r="H232" s="82">
        <f>H237</f>
        <v>56000</v>
      </c>
      <c r="I232" s="82">
        <f t="shared" ref="I232:J232" si="27">I237</f>
        <v>7000</v>
      </c>
      <c r="J232" s="82">
        <f t="shared" si="27"/>
        <v>6000</v>
      </c>
      <c r="K232"/>
      <c r="L232"/>
    </row>
    <row r="233" spans="1:12" s="3" customFormat="1" x14ac:dyDescent="0.3">
      <c r="A233" s="63" t="s">
        <v>166</v>
      </c>
      <c r="B233" s="63"/>
      <c r="C233" s="63"/>
      <c r="D233" s="63"/>
      <c r="E233" s="63"/>
      <c r="F233" s="83"/>
      <c r="G233" s="83"/>
      <c r="H233" s="83"/>
      <c r="I233" s="83"/>
      <c r="J233" s="64"/>
      <c r="K233"/>
      <c r="L233"/>
    </row>
    <row r="234" spans="1:12" s="3" customFormat="1" x14ac:dyDescent="0.3">
      <c r="A234" s="68" t="s">
        <v>167</v>
      </c>
      <c r="B234" s="68"/>
      <c r="C234" s="68"/>
      <c r="D234" s="68"/>
      <c r="E234" s="68"/>
      <c r="F234" s="76">
        <f t="shared" ref="F234:J234" si="28">F237</f>
        <v>31000</v>
      </c>
      <c r="G234" s="76">
        <f t="shared" si="28"/>
        <v>21064.07</v>
      </c>
      <c r="H234" s="76">
        <f t="shared" si="28"/>
        <v>56000</v>
      </c>
      <c r="I234" s="76">
        <f t="shared" si="28"/>
        <v>7000</v>
      </c>
      <c r="J234" s="76">
        <f t="shared" si="28"/>
        <v>6000</v>
      </c>
      <c r="K234"/>
      <c r="L234"/>
    </row>
    <row r="235" spans="1:12" s="3" customFormat="1" x14ac:dyDescent="0.3">
      <c r="A235" s="142" t="s">
        <v>132</v>
      </c>
      <c r="B235" s="142"/>
      <c r="C235" s="142"/>
      <c r="D235" s="142"/>
      <c r="E235" s="142"/>
      <c r="F235" s="79"/>
      <c r="G235" s="84"/>
      <c r="H235" s="84"/>
      <c r="I235" s="85"/>
      <c r="J235" s="80"/>
      <c r="K235"/>
      <c r="L235"/>
    </row>
    <row r="236" spans="1:12" s="3" customFormat="1" x14ac:dyDescent="0.3">
      <c r="A236" s="2"/>
      <c r="B236" s="2"/>
      <c r="C236" s="2"/>
      <c r="D236" s="2"/>
      <c r="E236" s="2"/>
      <c r="F236" s="5"/>
      <c r="G236" s="5"/>
      <c r="H236" s="5"/>
      <c r="I236" s="5"/>
      <c r="J236" s="10"/>
      <c r="K236"/>
      <c r="L236"/>
    </row>
    <row r="237" spans="1:12" x14ac:dyDescent="0.3">
      <c r="A237" s="3">
        <v>3</v>
      </c>
      <c r="B237" s="3" t="s">
        <v>8</v>
      </c>
      <c r="C237" s="3"/>
      <c r="D237" s="3"/>
      <c r="E237" s="3"/>
      <c r="F237" s="5">
        <f t="shared" ref="F237:J237" si="29">F238</f>
        <v>31000</v>
      </c>
      <c r="G237" s="5">
        <f t="shared" si="29"/>
        <v>21064.07</v>
      </c>
      <c r="H237" s="5">
        <f t="shared" si="29"/>
        <v>56000</v>
      </c>
      <c r="I237" s="5">
        <f t="shared" si="29"/>
        <v>7000</v>
      </c>
      <c r="J237" s="5">
        <f t="shared" si="29"/>
        <v>6000</v>
      </c>
    </row>
    <row r="238" spans="1:12" x14ac:dyDescent="0.3">
      <c r="A238" s="3">
        <v>32</v>
      </c>
      <c r="B238" s="3" t="s">
        <v>140</v>
      </c>
      <c r="C238" s="3"/>
      <c r="D238" s="3"/>
      <c r="E238" s="3"/>
      <c r="F238" s="5">
        <f t="shared" ref="F238:H238" si="30">F239+F241</f>
        <v>31000</v>
      </c>
      <c r="G238" s="5">
        <f t="shared" si="30"/>
        <v>21064.07</v>
      </c>
      <c r="H238" s="5">
        <f t="shared" si="30"/>
        <v>56000</v>
      </c>
      <c r="I238" s="5">
        <v>7000</v>
      </c>
      <c r="J238" s="5">
        <v>6000</v>
      </c>
      <c r="K238" s="1"/>
      <c r="L238" s="1"/>
    </row>
    <row r="239" spans="1:12" x14ac:dyDescent="0.3">
      <c r="A239" s="3">
        <v>323</v>
      </c>
      <c r="B239" s="3" t="s">
        <v>144</v>
      </c>
      <c r="C239" s="3"/>
      <c r="D239" s="3"/>
      <c r="E239" s="3"/>
      <c r="F239" s="5">
        <f t="shared" ref="F239:H239" si="31">F240</f>
        <v>25000</v>
      </c>
      <c r="G239" s="5">
        <f t="shared" si="31"/>
        <v>20481.8</v>
      </c>
      <c r="H239" s="5">
        <f t="shared" si="31"/>
        <v>50000</v>
      </c>
      <c r="I239" s="5"/>
      <c r="J239" s="5"/>
    </row>
    <row r="240" spans="1:12" x14ac:dyDescent="0.3">
      <c r="A240">
        <v>3232</v>
      </c>
      <c r="B240" t="s">
        <v>168</v>
      </c>
      <c r="F240" s="10">
        <v>25000</v>
      </c>
      <c r="G240" s="10">
        <f>12450+8031.8</f>
        <v>20481.8</v>
      </c>
      <c r="H240" s="10">
        <v>50000</v>
      </c>
      <c r="I240" s="10"/>
      <c r="J240" s="10"/>
    </row>
    <row r="241" spans="1:14" x14ac:dyDescent="0.3">
      <c r="A241" s="3">
        <v>329</v>
      </c>
      <c r="B241" s="3" t="s">
        <v>156</v>
      </c>
      <c r="C241" s="3"/>
      <c r="D241" s="3"/>
      <c r="E241" s="3"/>
      <c r="F241" s="5">
        <f t="shared" ref="F241:H241" si="32">SUM(F242:F243)</f>
        <v>6000</v>
      </c>
      <c r="G241" s="5">
        <f t="shared" si="32"/>
        <v>582.27</v>
      </c>
      <c r="H241" s="5">
        <f t="shared" si="32"/>
        <v>6000</v>
      </c>
      <c r="I241" s="5"/>
      <c r="J241" s="5"/>
    </row>
    <row r="242" spans="1:14" x14ac:dyDescent="0.3">
      <c r="A242">
        <v>3291</v>
      </c>
      <c r="B242" t="s">
        <v>169</v>
      </c>
      <c r="F242" s="10">
        <v>6000</v>
      </c>
      <c r="G242" s="10">
        <f>194.09+388.18</f>
        <v>582.27</v>
      </c>
      <c r="H242" s="10">
        <v>6000</v>
      </c>
      <c r="I242" s="10"/>
      <c r="J242" s="10"/>
    </row>
    <row r="243" spans="1:14" s="1" customFormat="1" x14ac:dyDescent="0.3">
      <c r="A243" s="1">
        <v>3291</v>
      </c>
      <c r="B243" s="1" t="s">
        <v>170</v>
      </c>
      <c r="F243" s="36"/>
      <c r="G243" s="36"/>
      <c r="H243" s="36"/>
      <c r="I243" s="36"/>
      <c r="J243" s="10"/>
      <c r="K243"/>
      <c r="L243"/>
    </row>
    <row r="244" spans="1:14" x14ac:dyDescent="0.3">
      <c r="I244" s="10"/>
      <c r="J244" s="10"/>
    </row>
    <row r="245" spans="1:14" ht="15.6" x14ac:dyDescent="0.3">
      <c r="A245" s="57" t="s">
        <v>171</v>
      </c>
      <c r="B245" s="57"/>
      <c r="C245" s="57"/>
      <c r="D245" s="57"/>
      <c r="E245" s="57"/>
      <c r="F245" s="86">
        <f>F246+F377+F402+F619+F707+F736+F776+F862</f>
        <v>19702640.27</v>
      </c>
      <c r="G245" s="86" t="e">
        <f>G246+G377+G402+G619+G707+G736+G776+G862</f>
        <v>#REF!</v>
      </c>
      <c r="H245" s="86">
        <f>H246+H377+H402+H619+H707+H736+H776+H862</f>
        <v>13630922</v>
      </c>
      <c r="I245" s="86">
        <f>I246+I377+I402+I619+I707+I736+I776+I862</f>
        <v>9573400</v>
      </c>
      <c r="J245" s="86">
        <f>J246+J377+J402+J619+J707+J736+J776+J862</f>
        <v>14853900</v>
      </c>
    </row>
    <row r="246" spans="1:14" x14ac:dyDescent="0.3">
      <c r="A246" s="59" t="s">
        <v>172</v>
      </c>
      <c r="B246" s="59"/>
      <c r="C246" s="59"/>
      <c r="D246" s="59"/>
      <c r="E246" s="59"/>
      <c r="F246" s="60">
        <f>F247+F363</f>
        <v>1458840.27</v>
      </c>
      <c r="G246" s="60">
        <f>G247+G363</f>
        <v>847813.23</v>
      </c>
      <c r="H246" s="60">
        <f>H247+H363</f>
        <v>3515887</v>
      </c>
      <c r="I246" s="60">
        <f>I247+I363</f>
        <v>1248400</v>
      </c>
      <c r="J246" s="60">
        <f>J247+J363</f>
        <v>1339400</v>
      </c>
    </row>
    <row r="247" spans="1:14" x14ac:dyDescent="0.3">
      <c r="A247" s="61" t="s">
        <v>173</v>
      </c>
      <c r="B247" s="61"/>
      <c r="C247" s="61"/>
      <c r="D247" s="61"/>
      <c r="E247" s="61"/>
      <c r="F247" s="62">
        <f>F250+F318+F344+F353+F334</f>
        <v>1413040.27</v>
      </c>
      <c r="G247" s="62">
        <f>G250+G318+G344+G353+G334</f>
        <v>809276.87</v>
      </c>
      <c r="H247" s="62">
        <f>H250+H318+H344+H353+H334+H339</f>
        <v>3450181</v>
      </c>
      <c r="I247" s="62">
        <f>I250+I318+I344+I353+I334</f>
        <v>1182000</v>
      </c>
      <c r="J247" s="62">
        <f>J250+J318+J344+J353+J334</f>
        <v>1273000</v>
      </c>
    </row>
    <row r="248" spans="1:14" x14ac:dyDescent="0.3">
      <c r="A248" s="63" t="s">
        <v>131</v>
      </c>
      <c r="B248" s="63"/>
      <c r="C248" s="63"/>
      <c r="D248" s="63"/>
      <c r="E248" s="63"/>
      <c r="F248" s="64"/>
      <c r="G248" s="64"/>
      <c r="H248" s="64"/>
      <c r="I248" s="64"/>
      <c r="J248" s="64"/>
    </row>
    <row r="249" spans="1:14" x14ac:dyDescent="0.3">
      <c r="A249" s="68" t="s">
        <v>174</v>
      </c>
      <c r="B249" s="69"/>
      <c r="C249" s="69"/>
      <c r="D249" s="69"/>
      <c r="E249" s="69"/>
      <c r="F249" s="87"/>
      <c r="G249" s="87"/>
      <c r="H249" s="87"/>
      <c r="I249" s="88"/>
      <c r="J249" s="88"/>
    </row>
    <row r="250" spans="1:14" x14ac:dyDescent="0.3">
      <c r="A250" s="68"/>
      <c r="B250" s="68" t="s">
        <v>175</v>
      </c>
      <c r="C250" s="69"/>
      <c r="D250" s="69"/>
      <c r="E250" s="69"/>
      <c r="F250" s="70">
        <f>F253+F316</f>
        <v>1150040.27</v>
      </c>
      <c r="G250" s="70">
        <f>G253+G315</f>
        <v>780467.71</v>
      </c>
      <c r="H250" s="70">
        <f>H253+H315</f>
        <v>1133181</v>
      </c>
      <c r="I250" s="70">
        <f>I253+I315</f>
        <v>1160000</v>
      </c>
      <c r="J250" s="70">
        <f>J253+J315</f>
        <v>1150000</v>
      </c>
    </row>
    <row r="251" spans="1:14" x14ac:dyDescent="0.3">
      <c r="A251" s="144" t="s">
        <v>132</v>
      </c>
      <c r="B251" s="145"/>
      <c r="C251" s="145"/>
      <c r="D251" s="145"/>
      <c r="E251" s="145"/>
      <c r="F251" s="80"/>
      <c r="G251" s="80"/>
      <c r="H251" s="80"/>
      <c r="I251" s="80"/>
      <c r="J251" s="80"/>
    </row>
    <row r="252" spans="1:14" x14ac:dyDescent="0.3">
      <c r="A252" s="144" t="s">
        <v>176</v>
      </c>
      <c r="B252" s="145"/>
      <c r="C252" s="145"/>
      <c r="D252" s="145"/>
      <c r="E252" s="145"/>
      <c r="F252" s="80"/>
      <c r="G252" s="80"/>
      <c r="H252" s="80"/>
      <c r="I252" s="80"/>
      <c r="J252" s="80"/>
    </row>
    <row r="253" spans="1:14" x14ac:dyDescent="0.3">
      <c r="A253" s="3">
        <v>3</v>
      </c>
      <c r="B253" s="3" t="s">
        <v>8</v>
      </c>
      <c r="C253" s="3"/>
      <c r="D253" s="3"/>
      <c r="E253" s="3"/>
      <c r="F253" s="5">
        <f>F254+F264</f>
        <v>1125040.27</v>
      </c>
      <c r="G253" s="5">
        <f>G254+G264</f>
        <v>755467.71</v>
      </c>
      <c r="H253" s="5">
        <f>H254+H264</f>
        <v>1133181</v>
      </c>
      <c r="I253" s="5">
        <f>I254+I264</f>
        <v>1160000</v>
      </c>
      <c r="J253" s="5">
        <f t="shared" ref="J253" si="33">J254+J264</f>
        <v>1150000</v>
      </c>
    </row>
    <row r="254" spans="1:14" x14ac:dyDescent="0.3">
      <c r="A254" s="3">
        <v>31</v>
      </c>
      <c r="B254" s="3" t="s">
        <v>134</v>
      </c>
      <c r="C254" s="3"/>
      <c r="D254" s="3"/>
      <c r="E254" s="3"/>
      <c r="F254" s="5">
        <f>F255+F259+F262</f>
        <v>599000</v>
      </c>
      <c r="G254" s="5">
        <f>G255+G259+G262</f>
        <v>438642.14</v>
      </c>
      <c r="H254" s="5">
        <f>H255+H259+H262</f>
        <v>634000</v>
      </c>
      <c r="I254" s="5">
        <v>640000</v>
      </c>
      <c r="J254" s="5">
        <v>620000</v>
      </c>
      <c r="K254" s="3"/>
      <c r="L254" s="3"/>
    </row>
    <row r="255" spans="1:14" x14ac:dyDescent="0.3">
      <c r="A255" s="3">
        <v>311</v>
      </c>
      <c r="B255" s="3" t="s">
        <v>177</v>
      </c>
      <c r="C255" s="3"/>
      <c r="D255" s="3"/>
      <c r="E255" s="3"/>
      <c r="F255" s="5">
        <f>SUM(F256:F258)</f>
        <v>501000</v>
      </c>
      <c r="G255" s="5">
        <f t="shared" ref="G255" si="34">SUM(G256:G258)</f>
        <v>384761.3</v>
      </c>
      <c r="H255" s="5">
        <v>495000</v>
      </c>
      <c r="I255" s="5"/>
      <c r="J255" s="5"/>
      <c r="N255">
        <f>20*12</f>
        <v>240</v>
      </c>
    </row>
    <row r="256" spans="1:14" x14ac:dyDescent="0.3">
      <c r="A256">
        <v>3111</v>
      </c>
      <c r="B256" t="s">
        <v>178</v>
      </c>
      <c r="F256" s="10">
        <v>378000</v>
      </c>
      <c r="G256" s="10">
        <v>290457.34999999998</v>
      </c>
      <c r="I256" s="10"/>
      <c r="J256" s="10"/>
      <c r="L256" s="1" t="s">
        <v>179</v>
      </c>
      <c r="M256">
        <f>4900*12</f>
        <v>58800</v>
      </c>
      <c r="N256">
        <f>240*42</f>
        <v>10080</v>
      </c>
    </row>
    <row r="257" spans="1:15" x14ac:dyDescent="0.3">
      <c r="A257">
        <v>3111</v>
      </c>
      <c r="B257" t="s">
        <v>137</v>
      </c>
      <c r="F257" s="10">
        <v>100500</v>
      </c>
      <c r="G257" s="10">
        <v>76952.25</v>
      </c>
      <c r="I257" s="10"/>
      <c r="J257" s="10"/>
      <c r="L257" s="1" t="s">
        <v>180</v>
      </c>
      <c r="M257">
        <f>4800*12</f>
        <v>57600</v>
      </c>
    </row>
    <row r="258" spans="1:15" x14ac:dyDescent="0.3">
      <c r="A258">
        <v>3111</v>
      </c>
      <c r="B258" t="s">
        <v>54</v>
      </c>
      <c r="F258" s="10">
        <v>22500</v>
      </c>
      <c r="G258" s="10">
        <v>17351.7</v>
      </c>
      <c r="I258" s="10"/>
      <c r="J258" s="10"/>
      <c r="L258" s="1" t="s">
        <v>181</v>
      </c>
      <c r="M258">
        <f>7500*12</f>
        <v>90000</v>
      </c>
      <c r="N258">
        <f>240*42</f>
        <v>10080</v>
      </c>
    </row>
    <row r="259" spans="1:15" s="3" customFormat="1" x14ac:dyDescent="0.3">
      <c r="A259" s="3">
        <v>312</v>
      </c>
      <c r="B259" s="3" t="s">
        <v>182</v>
      </c>
      <c r="F259" s="5">
        <f t="shared" ref="F259:G259" si="35">F261</f>
        <v>29000</v>
      </c>
      <c r="G259" s="5">
        <f t="shared" si="35"/>
        <v>7500</v>
      </c>
      <c r="H259" s="5">
        <f>H261+H260</f>
        <v>57000</v>
      </c>
      <c r="I259" s="5"/>
      <c r="J259" s="5"/>
      <c r="K259"/>
      <c r="L259" s="1" t="s">
        <v>183</v>
      </c>
      <c r="M259" s="3">
        <f>6200*12</f>
        <v>74400</v>
      </c>
    </row>
    <row r="260" spans="1:15" s="3" customFormat="1" x14ac:dyDescent="0.3">
      <c r="A260" s="3">
        <v>3121</v>
      </c>
      <c r="B260" s="160" t="s">
        <v>184</v>
      </c>
      <c r="C260" s="160"/>
      <c r="D260" s="160"/>
      <c r="E260" s="160"/>
      <c r="F260" s="5"/>
      <c r="G260" s="5"/>
      <c r="H260" s="34">
        <v>30000</v>
      </c>
      <c r="I260" s="5"/>
      <c r="J260" s="5"/>
      <c r="K260"/>
      <c r="L260" s="1" t="s">
        <v>185</v>
      </c>
      <c r="O260" s="89"/>
    </row>
    <row r="261" spans="1:15" x14ac:dyDescent="0.3">
      <c r="A261">
        <v>3121</v>
      </c>
      <c r="B261" s="161" t="s">
        <v>186</v>
      </c>
      <c r="C261" s="161"/>
      <c r="D261" s="161"/>
      <c r="E261" s="161"/>
      <c r="F261" s="10">
        <v>29000</v>
      </c>
      <c r="G261" s="10">
        <f>7500</f>
        <v>7500</v>
      </c>
      <c r="H261" s="10">
        <v>27000</v>
      </c>
      <c r="I261" s="10"/>
      <c r="J261" s="10"/>
      <c r="K261">
        <f>3000*9</f>
        <v>27000</v>
      </c>
      <c r="L261" s="1" t="s">
        <v>187</v>
      </c>
      <c r="M261">
        <f>10500*12</f>
        <v>126000</v>
      </c>
      <c r="N261">
        <f>240*42</f>
        <v>10080</v>
      </c>
    </row>
    <row r="262" spans="1:15" x14ac:dyDescent="0.3">
      <c r="A262" s="3">
        <v>313</v>
      </c>
      <c r="B262" s="3" t="s">
        <v>138</v>
      </c>
      <c r="C262" s="3"/>
      <c r="D262" s="3"/>
      <c r="E262" s="3"/>
      <c r="F262" s="5">
        <f>SUM(F263:F263)</f>
        <v>69000</v>
      </c>
      <c r="G262" s="5">
        <f>SUM(G263:G263)</f>
        <v>46380.84</v>
      </c>
      <c r="H262" s="5">
        <f>SUM(H263:H263)</f>
        <v>82000</v>
      </c>
      <c r="I262" s="5"/>
      <c r="J262" s="5"/>
      <c r="L262" s="1" t="s">
        <v>188</v>
      </c>
      <c r="M262" s="1">
        <f>7100*12</f>
        <v>85200</v>
      </c>
      <c r="N262">
        <f>240*42</f>
        <v>10080</v>
      </c>
      <c r="O262">
        <f>7100*12</f>
        <v>85200</v>
      </c>
    </row>
    <row r="263" spans="1:15" x14ac:dyDescent="0.3">
      <c r="A263">
        <v>3132</v>
      </c>
      <c r="B263" t="s">
        <v>139</v>
      </c>
      <c r="F263" s="10">
        <v>69000</v>
      </c>
      <c r="G263" s="10">
        <v>46380.84</v>
      </c>
      <c r="H263" s="10">
        <v>82000</v>
      </c>
      <c r="I263" s="10"/>
      <c r="J263" s="10"/>
      <c r="K263">
        <f>495000*16.5/100</f>
        <v>81675</v>
      </c>
      <c r="M263">
        <f>SUM(M256:M262)</f>
        <v>492000</v>
      </c>
      <c r="N263">
        <f>SUM(N256:N262)</f>
        <v>40320</v>
      </c>
    </row>
    <row r="264" spans="1:15" x14ac:dyDescent="0.3">
      <c r="A264" s="3">
        <v>32</v>
      </c>
      <c r="B264" s="3" t="s">
        <v>140</v>
      </c>
      <c r="C264" s="3"/>
      <c r="D264" s="3"/>
      <c r="E264" s="3"/>
      <c r="F264" s="5">
        <f>F265+F269+F280+F310</f>
        <v>526040.27</v>
      </c>
      <c r="G264" s="5">
        <f>G265+G269+G280+G310</f>
        <v>316825.57</v>
      </c>
      <c r="H264" s="5">
        <f>H265+H269+H280+H310</f>
        <v>499181</v>
      </c>
      <c r="I264" s="5">
        <v>520000</v>
      </c>
      <c r="J264" s="5">
        <v>530000</v>
      </c>
    </row>
    <row r="265" spans="1:15" x14ac:dyDescent="0.3">
      <c r="A265" s="3">
        <v>321</v>
      </c>
      <c r="B265" s="3" t="s">
        <v>141</v>
      </c>
      <c r="C265" s="3"/>
      <c r="D265" s="3"/>
      <c r="E265" s="3"/>
      <c r="F265" s="5">
        <f t="shared" ref="F265:G265" si="36">SUM(F266:F268)</f>
        <v>39000</v>
      </c>
      <c r="G265" s="5">
        <f t="shared" si="36"/>
        <v>23282.5</v>
      </c>
      <c r="H265" s="5">
        <f>SUM(H266:H268)</f>
        <v>48000</v>
      </c>
      <c r="I265" s="5"/>
      <c r="J265" s="5"/>
    </row>
    <row r="266" spans="1:15" x14ac:dyDescent="0.3">
      <c r="A266">
        <v>3211</v>
      </c>
      <c r="B266" t="s">
        <v>142</v>
      </c>
      <c r="F266" s="10">
        <v>5000</v>
      </c>
      <c r="G266" s="10">
        <f>308</f>
        <v>308</v>
      </c>
      <c r="H266" s="10">
        <v>3000</v>
      </c>
      <c r="I266" s="10"/>
      <c r="J266" s="10"/>
    </row>
    <row r="267" spans="1:15" x14ac:dyDescent="0.3">
      <c r="A267">
        <v>3212</v>
      </c>
      <c r="B267" t="s">
        <v>189</v>
      </c>
      <c r="F267" s="10">
        <v>28000</v>
      </c>
      <c r="G267" s="10">
        <v>22474.5</v>
      </c>
      <c r="H267" s="10">
        <v>41000</v>
      </c>
      <c r="I267" s="10"/>
      <c r="J267" s="10"/>
    </row>
    <row r="268" spans="1:15" x14ac:dyDescent="0.3">
      <c r="A268">
        <v>3213</v>
      </c>
      <c r="B268" t="s">
        <v>143</v>
      </c>
      <c r="F268" s="10">
        <v>6000</v>
      </c>
      <c r="G268" s="10">
        <v>500</v>
      </c>
      <c r="H268" s="10">
        <v>4000</v>
      </c>
      <c r="I268" s="10"/>
      <c r="J268" s="10"/>
    </row>
    <row r="269" spans="1:15" x14ac:dyDescent="0.3">
      <c r="A269" s="3">
        <v>322</v>
      </c>
      <c r="B269" s="3" t="s">
        <v>190</v>
      </c>
      <c r="C269" s="3"/>
      <c r="D269" s="3"/>
      <c r="E269" s="3"/>
      <c r="F269" s="5">
        <f>SUM(F270:F279)</f>
        <v>142640.26999999999</v>
      </c>
      <c r="G269" s="5">
        <f t="shared" ref="G269" si="37">SUM(G270:G279)</f>
        <v>109895.48000000001</v>
      </c>
      <c r="H269" s="5">
        <f>SUM(H270:H279)</f>
        <v>140181</v>
      </c>
      <c r="I269" s="5"/>
      <c r="J269" s="5"/>
    </row>
    <row r="270" spans="1:15" x14ac:dyDescent="0.3">
      <c r="A270">
        <v>3221</v>
      </c>
      <c r="B270" t="s">
        <v>191</v>
      </c>
      <c r="F270" s="10">
        <v>6000</v>
      </c>
      <c r="G270" s="10">
        <f>4992.68+3568.86</f>
        <v>8561.5400000000009</v>
      </c>
      <c r="H270" s="10">
        <v>11000</v>
      </c>
      <c r="I270" s="10"/>
      <c r="J270" s="10"/>
    </row>
    <row r="271" spans="1:15" x14ac:dyDescent="0.3">
      <c r="A271">
        <v>3221</v>
      </c>
      <c r="B271" t="s">
        <v>192</v>
      </c>
      <c r="F271" s="10">
        <v>5000</v>
      </c>
      <c r="G271" s="10">
        <v>280</v>
      </c>
      <c r="I271" s="10"/>
      <c r="J271" s="10"/>
    </row>
    <row r="272" spans="1:15" x14ac:dyDescent="0.3">
      <c r="A272">
        <v>3221</v>
      </c>
      <c r="B272" t="s">
        <v>193</v>
      </c>
      <c r="F272" s="10">
        <v>3000</v>
      </c>
      <c r="G272" s="10">
        <v>1089</v>
      </c>
      <c r="H272" s="10">
        <v>2000</v>
      </c>
      <c r="I272" s="10"/>
      <c r="J272" s="10"/>
    </row>
    <row r="273" spans="1:12" x14ac:dyDescent="0.3">
      <c r="A273">
        <v>3221</v>
      </c>
      <c r="B273" s="1" t="s">
        <v>194</v>
      </c>
      <c r="F273" s="36">
        <v>8000</v>
      </c>
      <c r="G273" s="10">
        <v>4405.5</v>
      </c>
      <c r="H273" s="10">
        <v>6000</v>
      </c>
      <c r="I273" s="10"/>
      <c r="J273" s="10"/>
    </row>
    <row r="274" spans="1:12" x14ac:dyDescent="0.3">
      <c r="A274">
        <v>3221</v>
      </c>
      <c r="B274" t="s">
        <v>195</v>
      </c>
      <c r="F274" s="36">
        <v>20000</v>
      </c>
      <c r="G274" s="36">
        <f>11142.2+14242.5</f>
        <v>25384.7</v>
      </c>
      <c r="H274" s="10">
        <v>25000</v>
      </c>
      <c r="I274" s="10"/>
      <c r="J274" s="10"/>
    </row>
    <row r="275" spans="1:12" x14ac:dyDescent="0.3">
      <c r="A275">
        <v>3221</v>
      </c>
      <c r="B275" t="s">
        <v>196</v>
      </c>
      <c r="F275" s="10">
        <v>2000</v>
      </c>
      <c r="G275" s="10">
        <f>109.86+39.95</f>
        <v>149.81</v>
      </c>
      <c r="H275" s="10">
        <v>500</v>
      </c>
      <c r="I275" s="10"/>
      <c r="J275" s="10"/>
    </row>
    <row r="276" spans="1:12" x14ac:dyDescent="0.3">
      <c r="A276">
        <v>3223</v>
      </c>
      <c r="B276" t="s">
        <v>197</v>
      </c>
      <c r="F276" s="10">
        <v>40000</v>
      </c>
      <c r="G276" s="10">
        <v>31083.14</v>
      </c>
      <c r="H276" s="10">
        <v>42000</v>
      </c>
      <c r="I276" s="10"/>
      <c r="J276" s="10"/>
    </row>
    <row r="277" spans="1:12" x14ac:dyDescent="0.3">
      <c r="A277">
        <v>3223</v>
      </c>
      <c r="B277" s="1" t="s">
        <v>198</v>
      </c>
      <c r="F277" s="10">
        <v>50000</v>
      </c>
      <c r="G277" s="10">
        <f>28064.99+4279.23</f>
        <v>32344.22</v>
      </c>
      <c r="H277" s="10">
        <f>50000-7000</f>
        <v>43000</v>
      </c>
      <c r="I277" s="10"/>
      <c r="J277" s="10"/>
    </row>
    <row r="278" spans="1:12" x14ac:dyDescent="0.3">
      <c r="A278">
        <v>3225</v>
      </c>
      <c r="B278" t="s">
        <v>199</v>
      </c>
      <c r="F278" s="10">
        <v>6000</v>
      </c>
      <c r="G278" s="10">
        <v>5115.7700000000004</v>
      </c>
      <c r="H278" s="10">
        <v>7000</v>
      </c>
      <c r="I278" s="10"/>
      <c r="J278" s="10"/>
    </row>
    <row r="279" spans="1:12" x14ac:dyDescent="0.3">
      <c r="A279">
        <v>3227</v>
      </c>
      <c r="B279" t="s">
        <v>200</v>
      </c>
      <c r="F279" s="10">
        <v>2640.27</v>
      </c>
      <c r="G279" s="10">
        <v>1481.8</v>
      </c>
      <c r="H279" s="10">
        <v>3681</v>
      </c>
      <c r="I279" s="10"/>
      <c r="J279" s="36"/>
      <c r="K279" s="1"/>
      <c r="L279" s="1"/>
    </row>
    <row r="280" spans="1:12" x14ac:dyDescent="0.3">
      <c r="A280" s="3">
        <v>323</v>
      </c>
      <c r="B280" s="3" t="s">
        <v>144</v>
      </c>
      <c r="C280" s="3"/>
      <c r="D280" s="3"/>
      <c r="E280" s="3"/>
      <c r="F280" s="5">
        <f>SUM(F281:F309)</f>
        <v>288400</v>
      </c>
      <c r="G280" s="5">
        <f>SUM(G281:G309)</f>
        <v>144438.85</v>
      </c>
      <c r="H280" s="5">
        <f>SUM(H281:H309)</f>
        <v>255000</v>
      </c>
      <c r="I280" s="5"/>
      <c r="J280" s="5"/>
      <c r="K280" s="1"/>
      <c r="L280" s="1"/>
    </row>
    <row r="281" spans="1:12" x14ac:dyDescent="0.3">
      <c r="A281">
        <v>3231</v>
      </c>
      <c r="B281" s="1" t="s">
        <v>201</v>
      </c>
      <c r="F281" s="10">
        <v>13000</v>
      </c>
      <c r="G281" s="10">
        <v>8099.4</v>
      </c>
      <c r="H281" s="10">
        <v>13000</v>
      </c>
      <c r="I281" s="10"/>
      <c r="J281" s="36"/>
      <c r="K281" s="1"/>
      <c r="L281" s="1"/>
    </row>
    <row r="282" spans="1:12" x14ac:dyDescent="0.3">
      <c r="A282">
        <v>3231</v>
      </c>
      <c r="B282" t="s">
        <v>202</v>
      </c>
      <c r="F282" s="10">
        <v>10000</v>
      </c>
      <c r="G282" s="10">
        <v>8237.09</v>
      </c>
      <c r="H282" s="10">
        <v>10000</v>
      </c>
      <c r="I282" s="10"/>
      <c r="J282" s="36"/>
      <c r="K282" s="1"/>
      <c r="L282" s="1"/>
    </row>
    <row r="283" spans="1:12" s="1" customFormat="1" x14ac:dyDescent="0.3">
      <c r="A283" s="1">
        <v>3232</v>
      </c>
      <c r="B283" s="1" t="s">
        <v>203</v>
      </c>
      <c r="F283" s="36">
        <v>5000</v>
      </c>
      <c r="G283" s="36">
        <f>1087.45+2573+2187.5</f>
        <v>5847.95</v>
      </c>
      <c r="H283" s="10">
        <v>5000</v>
      </c>
      <c r="I283" s="36"/>
      <c r="J283" s="10"/>
      <c r="K283"/>
      <c r="L283"/>
    </row>
    <row r="284" spans="1:12" s="1" customFormat="1" ht="12" customHeight="1" x14ac:dyDescent="0.3">
      <c r="A284" s="1">
        <v>3232</v>
      </c>
      <c r="B284" s="1" t="s">
        <v>204</v>
      </c>
      <c r="F284" s="36">
        <v>6000</v>
      </c>
      <c r="G284" s="36"/>
      <c r="H284" s="10">
        <v>4000</v>
      </c>
      <c r="I284" s="36"/>
      <c r="J284" s="10"/>
      <c r="K284"/>
      <c r="L284"/>
    </row>
    <row r="285" spans="1:12" s="1" customFormat="1" x14ac:dyDescent="0.3">
      <c r="A285" s="1">
        <v>3232</v>
      </c>
      <c r="B285" s="1" t="s">
        <v>205</v>
      </c>
      <c r="F285" s="36">
        <v>4000</v>
      </c>
      <c r="G285" s="36">
        <f>2257.51+1200</f>
        <v>3457.51</v>
      </c>
      <c r="H285" s="10">
        <v>5000</v>
      </c>
      <c r="I285" s="36"/>
      <c r="J285" s="10"/>
      <c r="K285"/>
      <c r="L285"/>
    </row>
    <row r="286" spans="1:12" s="1" customFormat="1" x14ac:dyDescent="0.3">
      <c r="A286">
        <v>3233</v>
      </c>
      <c r="B286" s="1" t="s">
        <v>206</v>
      </c>
      <c r="C286"/>
      <c r="D286"/>
      <c r="E286"/>
      <c r="F286" s="36">
        <v>35000</v>
      </c>
      <c r="G286" s="36">
        <f>937.5+23547.5</f>
        <v>24485</v>
      </c>
      <c r="H286" s="10">
        <v>35000</v>
      </c>
      <c r="I286" s="36"/>
      <c r="J286" s="10"/>
      <c r="K286">
        <f>950*12</f>
        <v>11400</v>
      </c>
      <c r="L286"/>
    </row>
    <row r="287" spans="1:12" s="1" customFormat="1" x14ac:dyDescent="0.3">
      <c r="A287" s="1">
        <v>3233</v>
      </c>
      <c r="B287" s="1" t="s">
        <v>207</v>
      </c>
      <c r="F287" s="36">
        <v>12000</v>
      </c>
      <c r="G287" s="36">
        <v>9000</v>
      </c>
      <c r="H287" s="10">
        <v>12000</v>
      </c>
      <c r="I287" s="36"/>
      <c r="J287" s="10"/>
      <c r="K287"/>
      <c r="L287"/>
    </row>
    <row r="288" spans="1:12" x14ac:dyDescent="0.3">
      <c r="A288">
        <v>3234</v>
      </c>
      <c r="B288" t="s">
        <v>208</v>
      </c>
      <c r="F288" s="10">
        <v>4000</v>
      </c>
      <c r="G288" s="10">
        <v>1340.9</v>
      </c>
      <c r="H288" s="10">
        <v>1500</v>
      </c>
      <c r="I288" s="10"/>
      <c r="J288" s="10"/>
    </row>
    <row r="289" spans="1:12" hidden="1" x14ac:dyDescent="0.3">
      <c r="A289">
        <v>3237</v>
      </c>
      <c r="B289" t="s">
        <v>209</v>
      </c>
      <c r="H289" s="10">
        <f t="shared" ref="H289" si="38">F289+G289</f>
        <v>0</v>
      </c>
      <c r="I289" s="10"/>
      <c r="J289" s="10"/>
    </row>
    <row r="290" spans="1:12" x14ac:dyDescent="0.3">
      <c r="A290">
        <v>3235</v>
      </c>
      <c r="B290" t="s">
        <v>210</v>
      </c>
      <c r="F290" s="10">
        <v>4500</v>
      </c>
      <c r="G290" s="10">
        <v>3337.96</v>
      </c>
      <c r="H290" s="10">
        <v>5000</v>
      </c>
      <c r="I290" s="10"/>
      <c r="J290" s="10"/>
    </row>
    <row r="291" spans="1:12" x14ac:dyDescent="0.3">
      <c r="A291">
        <v>3235</v>
      </c>
      <c r="B291" t="s">
        <v>211</v>
      </c>
      <c r="F291" s="10">
        <v>12000</v>
      </c>
      <c r="G291" s="10">
        <f>3750+1800+2000</f>
        <v>7550</v>
      </c>
      <c r="H291" s="10">
        <v>12000</v>
      </c>
      <c r="I291" s="10"/>
      <c r="J291" s="10"/>
    </row>
    <row r="292" spans="1:12" x14ac:dyDescent="0.3">
      <c r="A292">
        <v>3235</v>
      </c>
      <c r="B292" t="s">
        <v>212</v>
      </c>
      <c r="F292" s="10">
        <v>4000</v>
      </c>
      <c r="G292" s="36"/>
      <c r="I292" s="10"/>
      <c r="J292" s="10"/>
    </row>
    <row r="293" spans="1:12" x14ac:dyDescent="0.3">
      <c r="A293">
        <v>3236</v>
      </c>
      <c r="B293" s="141" t="s">
        <v>213</v>
      </c>
      <c r="C293" s="148"/>
      <c r="D293" s="148"/>
      <c r="E293" s="148"/>
      <c r="G293" s="36"/>
      <c r="H293" s="10">
        <v>5000</v>
      </c>
      <c r="I293" s="10"/>
      <c r="J293" s="10"/>
      <c r="K293">
        <f>500*10</f>
        <v>5000</v>
      </c>
    </row>
    <row r="294" spans="1:12" x14ac:dyDescent="0.3">
      <c r="A294">
        <v>3237</v>
      </c>
      <c r="B294" t="s">
        <v>214</v>
      </c>
      <c r="F294" s="10">
        <v>40000</v>
      </c>
      <c r="G294" s="10">
        <v>40904.32</v>
      </c>
      <c r="H294" s="10">
        <v>15000</v>
      </c>
      <c r="I294" s="10"/>
      <c r="J294" s="10"/>
      <c r="K294">
        <f>600*12</f>
        <v>7200</v>
      </c>
    </row>
    <row r="295" spans="1:12" x14ac:dyDescent="0.3">
      <c r="A295">
        <v>3237</v>
      </c>
      <c r="B295" t="s">
        <v>215</v>
      </c>
      <c r="F295" s="10">
        <v>16000</v>
      </c>
      <c r="H295" s="10">
        <v>7000</v>
      </c>
      <c r="I295" s="10"/>
      <c r="J295" s="10"/>
    </row>
    <row r="296" spans="1:12" x14ac:dyDescent="0.3">
      <c r="A296">
        <v>3237</v>
      </c>
      <c r="B296" s="159" t="s">
        <v>216</v>
      </c>
      <c r="C296" s="159"/>
      <c r="D296" s="159"/>
      <c r="E296" s="159"/>
      <c r="H296" s="10">
        <v>23000</v>
      </c>
      <c r="I296" s="10"/>
      <c r="J296" s="10"/>
    </row>
    <row r="297" spans="1:12" x14ac:dyDescent="0.3">
      <c r="A297">
        <v>3237</v>
      </c>
      <c r="B297" t="s">
        <v>217</v>
      </c>
      <c r="F297" s="10">
        <v>25000</v>
      </c>
      <c r="H297" s="10">
        <v>25000</v>
      </c>
      <c r="I297" s="10"/>
      <c r="J297" s="36"/>
      <c r="K297" s="1"/>
      <c r="L297" s="1"/>
    </row>
    <row r="298" spans="1:12" x14ac:dyDescent="0.3">
      <c r="A298">
        <v>3237</v>
      </c>
      <c r="B298" t="s">
        <v>218</v>
      </c>
      <c r="F298" s="10">
        <v>5000</v>
      </c>
      <c r="G298" s="10">
        <v>1875</v>
      </c>
      <c r="H298" s="10">
        <v>5000</v>
      </c>
      <c r="I298" s="10"/>
      <c r="J298" s="36"/>
      <c r="K298" s="1"/>
      <c r="L298" s="1"/>
    </row>
    <row r="299" spans="1:12" x14ac:dyDescent="0.3">
      <c r="A299">
        <v>3238</v>
      </c>
      <c r="B299" t="s">
        <v>219</v>
      </c>
      <c r="F299" s="10">
        <v>4000</v>
      </c>
      <c r="G299" s="36">
        <v>2234.39</v>
      </c>
      <c r="H299" s="10">
        <v>4000</v>
      </c>
      <c r="I299" s="10"/>
      <c r="J299" s="36"/>
      <c r="K299" s="1">
        <f>200*12</f>
        <v>2400</v>
      </c>
      <c r="L299" s="1"/>
    </row>
    <row r="300" spans="1:12" x14ac:dyDescent="0.3">
      <c r="A300">
        <v>3239</v>
      </c>
      <c r="B300" t="s">
        <v>220</v>
      </c>
      <c r="F300" s="10">
        <v>5000</v>
      </c>
      <c r="G300" s="10">
        <v>7272</v>
      </c>
      <c r="H300" s="10">
        <v>6000</v>
      </c>
      <c r="I300" s="10"/>
      <c r="J300" s="36"/>
      <c r="K300" s="1"/>
      <c r="L300" s="1"/>
    </row>
    <row r="301" spans="1:12" x14ac:dyDescent="0.3">
      <c r="A301" s="1">
        <v>3239</v>
      </c>
      <c r="B301" s="1" t="s">
        <v>221</v>
      </c>
      <c r="C301" s="1"/>
      <c r="D301" s="1"/>
      <c r="E301" s="1"/>
      <c r="F301" s="10">
        <v>7000</v>
      </c>
      <c r="G301" s="10">
        <v>7000</v>
      </c>
      <c r="H301" s="10">
        <v>7000</v>
      </c>
      <c r="I301" s="10"/>
      <c r="J301" s="36"/>
      <c r="K301" s="1"/>
      <c r="L301" s="1"/>
    </row>
    <row r="302" spans="1:12" s="1" customFormat="1" x14ac:dyDescent="0.3">
      <c r="A302">
        <v>3239</v>
      </c>
      <c r="B302" s="1" t="s">
        <v>222</v>
      </c>
      <c r="C302"/>
      <c r="D302"/>
      <c r="E302"/>
      <c r="F302" s="36">
        <v>1000</v>
      </c>
      <c r="G302" s="36">
        <v>800</v>
      </c>
      <c r="H302" s="10">
        <v>1000</v>
      </c>
      <c r="I302" s="36"/>
      <c r="J302" s="10"/>
      <c r="K302">
        <f>80*12</f>
        <v>960</v>
      </c>
      <c r="L302"/>
    </row>
    <row r="303" spans="1:12" s="1" customFormat="1" x14ac:dyDescent="0.3">
      <c r="A303">
        <v>3239</v>
      </c>
      <c r="B303" s="1" t="s">
        <v>223</v>
      </c>
      <c r="C303"/>
      <c r="D303"/>
      <c r="E303"/>
      <c r="F303" s="36">
        <v>2000</v>
      </c>
      <c r="G303" s="36">
        <v>981.46</v>
      </c>
      <c r="H303" s="10">
        <v>1500</v>
      </c>
      <c r="I303" s="36"/>
      <c r="J303" s="10"/>
      <c r="K303"/>
      <c r="L303"/>
    </row>
    <row r="304" spans="1:12" s="1" customFormat="1" x14ac:dyDescent="0.3">
      <c r="A304">
        <v>3239</v>
      </c>
      <c r="B304" s="1" t="s">
        <v>224</v>
      </c>
      <c r="C304"/>
      <c r="D304"/>
      <c r="E304"/>
      <c r="F304" s="36">
        <v>2000</v>
      </c>
      <c r="G304" s="36"/>
      <c r="H304" s="10">
        <v>2000</v>
      </c>
      <c r="I304" s="36"/>
      <c r="J304" s="10"/>
      <c r="K304"/>
      <c r="L304"/>
    </row>
    <row r="305" spans="1:12" s="1" customFormat="1" x14ac:dyDescent="0.3">
      <c r="A305">
        <v>3239</v>
      </c>
      <c r="B305" s="141" t="s">
        <v>225</v>
      </c>
      <c r="C305" s="141"/>
      <c r="D305" s="141"/>
      <c r="E305" s="141"/>
      <c r="F305" s="36">
        <v>9000</v>
      </c>
      <c r="G305" s="34"/>
      <c r="H305" s="10">
        <v>9000</v>
      </c>
      <c r="I305" s="36"/>
      <c r="J305" s="10"/>
      <c r="K305"/>
      <c r="L305"/>
    </row>
    <row r="306" spans="1:12" s="1" customFormat="1" x14ac:dyDescent="0.3">
      <c r="A306">
        <v>3239</v>
      </c>
      <c r="B306" s="1" t="s">
        <v>226</v>
      </c>
      <c r="C306"/>
      <c r="D306"/>
      <c r="E306"/>
      <c r="F306" s="36">
        <v>20000</v>
      </c>
      <c r="G306" s="36"/>
      <c r="H306" s="10">
        <v>20000</v>
      </c>
      <c r="I306" s="36"/>
      <c r="J306" s="36"/>
    </row>
    <row r="307" spans="1:12" x14ac:dyDescent="0.3">
      <c r="A307">
        <v>3239</v>
      </c>
      <c r="B307" s="1" t="s">
        <v>227</v>
      </c>
      <c r="F307" s="10">
        <v>33000</v>
      </c>
      <c r="G307" s="10">
        <v>9165.8700000000008</v>
      </c>
      <c r="H307" s="10">
        <v>10000</v>
      </c>
      <c r="I307" s="10"/>
      <c r="J307" s="10"/>
    </row>
    <row r="308" spans="1:12" x14ac:dyDescent="0.3">
      <c r="A308">
        <v>3234</v>
      </c>
      <c r="B308" s="141" t="s">
        <v>228</v>
      </c>
      <c r="C308" s="141"/>
      <c r="D308" s="141"/>
      <c r="E308" s="141"/>
      <c r="H308" s="10">
        <v>7000</v>
      </c>
      <c r="I308" s="10"/>
      <c r="J308" s="10"/>
    </row>
    <row r="309" spans="1:12" x14ac:dyDescent="0.3">
      <c r="A309">
        <v>3239</v>
      </c>
      <c r="B309" s="141" t="s">
        <v>229</v>
      </c>
      <c r="C309" s="141"/>
      <c r="D309" s="141"/>
      <c r="E309" s="141"/>
      <c r="F309" s="10">
        <v>9900</v>
      </c>
      <c r="G309" s="36">
        <v>2850</v>
      </c>
      <c r="H309" s="10">
        <v>5000</v>
      </c>
      <c r="I309" s="10"/>
      <c r="J309" s="10"/>
    </row>
    <row r="310" spans="1:12" x14ac:dyDescent="0.3">
      <c r="A310" s="3">
        <v>329</v>
      </c>
      <c r="B310" s="3" t="s">
        <v>156</v>
      </c>
      <c r="C310" s="3"/>
      <c r="D310" s="3"/>
      <c r="E310" s="3"/>
      <c r="F310" s="5">
        <f t="shared" ref="F310" si="39">SUM(F311:F313)</f>
        <v>56000</v>
      </c>
      <c r="G310" s="5">
        <f>SUM(G311:G313)</f>
        <v>39208.74</v>
      </c>
      <c r="H310" s="5">
        <f>SUM(H311:H313)</f>
        <v>56000</v>
      </c>
      <c r="I310" s="5"/>
      <c r="J310" s="5"/>
    </row>
    <row r="311" spans="1:12" s="1" customFormat="1" ht="13.2" x14ac:dyDescent="0.25">
      <c r="A311" s="1">
        <v>3292</v>
      </c>
      <c r="B311" s="1" t="s">
        <v>230</v>
      </c>
      <c r="F311" s="36">
        <v>12000</v>
      </c>
      <c r="G311" s="36">
        <v>7648.05</v>
      </c>
      <c r="H311" s="36">
        <v>12000</v>
      </c>
      <c r="I311" s="36"/>
      <c r="J311" s="36"/>
      <c r="K311" s="3"/>
      <c r="L311" s="3"/>
    </row>
    <row r="312" spans="1:12" x14ac:dyDescent="0.3">
      <c r="A312">
        <v>3293</v>
      </c>
      <c r="B312" t="s">
        <v>231</v>
      </c>
      <c r="F312" s="10">
        <v>2000</v>
      </c>
      <c r="G312" s="10">
        <f>139.62+173.68</f>
        <v>313.3</v>
      </c>
      <c r="H312" s="36">
        <v>2000</v>
      </c>
      <c r="I312" s="10"/>
      <c r="J312" s="10"/>
    </row>
    <row r="313" spans="1:12" x14ac:dyDescent="0.3">
      <c r="A313">
        <v>3294</v>
      </c>
      <c r="B313" s="1" t="s">
        <v>232</v>
      </c>
      <c r="F313" s="10">
        <v>42000</v>
      </c>
      <c r="G313" s="10">
        <v>31247.39</v>
      </c>
      <c r="H313" s="36">
        <v>42000</v>
      </c>
      <c r="I313" s="10"/>
      <c r="J313" s="10"/>
    </row>
    <row r="314" spans="1:12" x14ac:dyDescent="0.3">
      <c r="B314" s="124"/>
      <c r="C314" s="124"/>
      <c r="D314" s="124"/>
      <c r="E314" s="124"/>
      <c r="I314" s="10"/>
      <c r="J314" s="10"/>
    </row>
    <row r="315" spans="1:12" s="3" customFormat="1" x14ac:dyDescent="0.3">
      <c r="A315" s="3">
        <v>423</v>
      </c>
      <c r="B315" s="140" t="s">
        <v>233</v>
      </c>
      <c r="C315" s="140"/>
      <c r="D315" s="140"/>
      <c r="E315" s="140"/>
      <c r="F315" s="5"/>
      <c r="G315" s="5">
        <f t="shared" ref="G315:H315" si="40">G316</f>
        <v>25000</v>
      </c>
      <c r="H315" s="5">
        <f t="shared" si="40"/>
        <v>0</v>
      </c>
      <c r="I315" s="5"/>
      <c r="J315" s="5"/>
      <c r="K315"/>
      <c r="L315"/>
    </row>
    <row r="316" spans="1:12" x14ac:dyDescent="0.3">
      <c r="A316">
        <v>4231</v>
      </c>
      <c r="B316" s="1" t="s">
        <v>234</v>
      </c>
      <c r="F316" s="10">
        <v>25000</v>
      </c>
      <c r="G316" s="10">
        <v>25000</v>
      </c>
      <c r="H316" s="10">
        <v>0</v>
      </c>
      <c r="I316" s="10"/>
      <c r="J316" s="10"/>
    </row>
    <row r="317" spans="1:12" x14ac:dyDescent="0.3">
      <c r="B317" s="1"/>
      <c r="I317" s="10"/>
      <c r="J317" s="10"/>
    </row>
    <row r="318" spans="1:12" x14ac:dyDescent="0.3">
      <c r="A318" s="90" t="s">
        <v>235</v>
      </c>
      <c r="B318" s="90"/>
      <c r="C318" s="90"/>
      <c r="D318" s="90"/>
      <c r="E318" s="90"/>
      <c r="F318" s="78">
        <f>F321+F325</f>
        <v>46000</v>
      </c>
      <c r="G318" s="78">
        <f>G321+G325</f>
        <v>22207.91</v>
      </c>
      <c r="H318" s="78">
        <f>H321+H325+H330</f>
        <v>1939000</v>
      </c>
      <c r="I318" s="78">
        <f t="shared" ref="I318:J318" si="41">I321+I325</f>
        <v>22000</v>
      </c>
      <c r="J318" s="78">
        <f t="shared" si="41"/>
        <v>23000</v>
      </c>
    </row>
    <row r="319" spans="1:12" s="1" customFormat="1" x14ac:dyDescent="0.3">
      <c r="A319" s="142" t="s">
        <v>132</v>
      </c>
      <c r="B319" s="142"/>
      <c r="C319" s="142"/>
      <c r="D319" s="142"/>
      <c r="E319" s="142"/>
      <c r="F319" s="67"/>
      <c r="G319" s="67"/>
      <c r="H319" s="67"/>
      <c r="I319" s="67"/>
      <c r="J319" s="80"/>
      <c r="K319"/>
      <c r="L319"/>
    </row>
    <row r="320" spans="1:12" x14ac:dyDescent="0.3">
      <c r="A320" s="2"/>
      <c r="B320" s="2"/>
      <c r="C320" s="2"/>
      <c r="D320" s="2"/>
      <c r="E320" s="2"/>
      <c r="I320" s="10"/>
      <c r="J320" s="10"/>
    </row>
    <row r="321" spans="1:13" x14ac:dyDescent="0.3">
      <c r="A321" s="3">
        <v>3</v>
      </c>
      <c r="B321" s="3" t="s">
        <v>8</v>
      </c>
      <c r="C321" s="3"/>
      <c r="D321" s="3"/>
      <c r="E321" s="3"/>
      <c r="F321" s="5">
        <f t="shared" ref="F321:J323" si="42">F322</f>
        <v>7000</v>
      </c>
      <c r="G321" s="5">
        <f t="shared" si="42"/>
        <v>4464.7</v>
      </c>
      <c r="H321" s="5">
        <f t="shared" si="42"/>
        <v>10000</v>
      </c>
      <c r="I321" s="5">
        <f t="shared" si="42"/>
        <v>7000</v>
      </c>
      <c r="J321" s="5">
        <f t="shared" si="42"/>
        <v>8000</v>
      </c>
    </row>
    <row r="322" spans="1:13" x14ac:dyDescent="0.3">
      <c r="A322" s="3">
        <v>32</v>
      </c>
      <c r="B322" s="3" t="s">
        <v>140</v>
      </c>
      <c r="C322" s="3"/>
      <c r="D322" s="3"/>
      <c r="E322" s="3"/>
      <c r="F322" s="5">
        <f t="shared" si="42"/>
        <v>7000</v>
      </c>
      <c r="G322" s="5">
        <f t="shared" si="42"/>
        <v>4464.7</v>
      </c>
      <c r="H322" s="5">
        <f t="shared" si="42"/>
        <v>10000</v>
      </c>
      <c r="I322" s="5">
        <v>7000</v>
      </c>
      <c r="J322" s="5">
        <v>8000</v>
      </c>
    </row>
    <row r="323" spans="1:13" x14ac:dyDescent="0.3">
      <c r="A323" s="3">
        <v>329</v>
      </c>
      <c r="B323" s="3" t="s">
        <v>156</v>
      </c>
      <c r="C323" s="3"/>
      <c r="D323" s="3"/>
      <c r="E323" s="3"/>
      <c r="F323" s="5">
        <f t="shared" si="42"/>
        <v>7000</v>
      </c>
      <c r="G323" s="5">
        <f t="shared" si="42"/>
        <v>4464.7</v>
      </c>
      <c r="H323" s="5">
        <f t="shared" si="42"/>
        <v>10000</v>
      </c>
      <c r="I323" s="5"/>
      <c r="J323" s="5"/>
    </row>
    <row r="324" spans="1:13" x14ac:dyDescent="0.3">
      <c r="A324">
        <v>3295</v>
      </c>
      <c r="B324" t="s">
        <v>236</v>
      </c>
      <c r="F324" s="36">
        <v>7000</v>
      </c>
      <c r="G324" s="36">
        <f>870.2+2491.5+1103</f>
        <v>4464.7</v>
      </c>
      <c r="H324" s="36">
        <v>10000</v>
      </c>
      <c r="I324" s="10"/>
      <c r="J324" s="10"/>
    </row>
    <row r="325" spans="1:13" x14ac:dyDescent="0.3">
      <c r="A325" s="3">
        <v>34</v>
      </c>
      <c r="B325" s="3" t="s">
        <v>237</v>
      </c>
      <c r="C325" s="3"/>
      <c r="D325" s="3"/>
      <c r="E325" s="3"/>
      <c r="F325" s="5">
        <f t="shared" ref="F325:H325" si="43">F326</f>
        <v>39000</v>
      </c>
      <c r="G325" s="5">
        <f t="shared" si="43"/>
        <v>17743.21</v>
      </c>
      <c r="H325" s="5">
        <f t="shared" si="43"/>
        <v>29000</v>
      </c>
      <c r="I325" s="5">
        <v>15000</v>
      </c>
      <c r="J325" s="5">
        <v>15000</v>
      </c>
    </row>
    <row r="326" spans="1:13" x14ac:dyDescent="0.3">
      <c r="A326" s="3">
        <v>343</v>
      </c>
      <c r="B326" s="3" t="s">
        <v>238</v>
      </c>
      <c r="C326" s="3"/>
      <c r="D326" s="3"/>
      <c r="E326" s="3"/>
      <c r="F326" s="5">
        <f>SUM(F327:F328)</f>
        <v>39000</v>
      </c>
      <c r="G326" s="5">
        <f>SUM(G327:G328)</f>
        <v>17743.21</v>
      </c>
      <c r="H326" s="5">
        <f>SUM(H327:H328)</f>
        <v>29000</v>
      </c>
      <c r="I326" s="5"/>
      <c r="J326" s="5"/>
      <c r="K326" s="3"/>
      <c r="L326" s="3"/>
    </row>
    <row r="327" spans="1:13" x14ac:dyDescent="0.3">
      <c r="A327">
        <v>3431</v>
      </c>
      <c r="B327" t="s">
        <v>239</v>
      </c>
      <c r="F327" s="36">
        <v>15000</v>
      </c>
      <c r="G327" s="36">
        <f>11684.65+6039.4</f>
        <v>17724.05</v>
      </c>
      <c r="H327" s="36">
        <v>14000</v>
      </c>
      <c r="I327" s="10"/>
      <c r="J327" s="36"/>
      <c r="K327" s="1">
        <f>63*12</f>
        <v>756</v>
      </c>
      <c r="L327" s="1">
        <f>1100*12</f>
        <v>13200</v>
      </c>
      <c r="M327">
        <f>K327+L327</f>
        <v>13956</v>
      </c>
    </row>
    <row r="328" spans="1:13" x14ac:dyDescent="0.3">
      <c r="A328">
        <v>3434</v>
      </c>
      <c r="B328" s="141" t="s">
        <v>240</v>
      </c>
      <c r="C328" s="148"/>
      <c r="D328" s="148"/>
      <c r="E328" s="148"/>
      <c r="F328" s="10">
        <v>24000</v>
      </c>
      <c r="G328" s="10">
        <v>19.16</v>
      </c>
      <c r="H328" s="36">
        <v>15000</v>
      </c>
      <c r="I328" s="10"/>
      <c r="J328" s="36"/>
      <c r="K328" s="1"/>
      <c r="L328" s="1"/>
    </row>
    <row r="329" spans="1:13" x14ac:dyDescent="0.3">
      <c r="B329" s="124"/>
      <c r="C329" s="125"/>
      <c r="D329" s="125"/>
      <c r="E329" s="125"/>
      <c r="H329" s="36"/>
      <c r="I329" s="10"/>
      <c r="J329" s="36"/>
      <c r="K329" s="1"/>
      <c r="L329" s="1"/>
    </row>
    <row r="330" spans="1:13" s="3" customFormat="1" ht="13.2" x14ac:dyDescent="0.25">
      <c r="A330" s="3">
        <v>5</v>
      </c>
      <c r="B330" s="140" t="s">
        <v>241</v>
      </c>
      <c r="C330" s="140"/>
      <c r="D330" s="140"/>
      <c r="E330" s="140"/>
      <c r="F330" s="5"/>
      <c r="G330" s="5"/>
      <c r="H330" s="5">
        <f>H331</f>
        <v>1900000</v>
      </c>
      <c r="I330" s="5"/>
      <c r="J330" s="5"/>
    </row>
    <row r="331" spans="1:13" s="3" customFormat="1" ht="13.2" x14ac:dyDescent="0.25">
      <c r="A331" s="3">
        <v>54</v>
      </c>
      <c r="B331" s="140" t="s">
        <v>242</v>
      </c>
      <c r="C331" s="140"/>
      <c r="D331" s="140"/>
      <c r="E331" s="140"/>
      <c r="F331" s="5"/>
      <c r="G331" s="5"/>
      <c r="H331" s="5">
        <f>H332</f>
        <v>1900000</v>
      </c>
      <c r="I331" s="5"/>
      <c r="J331" s="5"/>
    </row>
    <row r="332" spans="1:13" x14ac:dyDescent="0.3">
      <c r="A332">
        <v>547</v>
      </c>
      <c r="B332" s="146" t="s">
        <v>243</v>
      </c>
      <c r="C332" s="146"/>
      <c r="D332" s="146"/>
      <c r="E332" s="146"/>
      <c r="H332" s="34">
        <f>2500000-600000</f>
        <v>1900000</v>
      </c>
      <c r="I332" s="10"/>
      <c r="J332" s="36"/>
      <c r="K332" s="1"/>
      <c r="L332" s="1"/>
    </row>
    <row r="333" spans="1:13" x14ac:dyDescent="0.3">
      <c r="B333" s="124"/>
      <c r="C333" s="125"/>
      <c r="D333" s="125"/>
      <c r="E333" s="125"/>
      <c r="H333" s="36"/>
      <c r="I333" s="10"/>
      <c r="J333" s="10"/>
    </row>
    <row r="334" spans="1:13" s="3" customFormat="1" x14ac:dyDescent="0.3">
      <c r="A334" s="143" t="s">
        <v>244</v>
      </c>
      <c r="B334" s="143"/>
      <c r="C334" s="143"/>
      <c r="D334" s="143"/>
      <c r="E334" s="143"/>
      <c r="F334" s="78">
        <f>F336</f>
        <v>100000</v>
      </c>
      <c r="G334" s="78">
        <f>G336</f>
        <v>0</v>
      </c>
      <c r="H334" s="78">
        <f>H336</f>
        <v>100000</v>
      </c>
      <c r="I334" s="78">
        <f t="shared" ref="I334:J334" si="44">I336</f>
        <v>0</v>
      </c>
      <c r="J334" s="78">
        <f t="shared" si="44"/>
        <v>100000</v>
      </c>
      <c r="K334"/>
      <c r="L334"/>
    </row>
    <row r="335" spans="1:13" s="1" customFormat="1" x14ac:dyDescent="0.3">
      <c r="A335" s="141"/>
      <c r="B335" s="141"/>
      <c r="C335" s="141"/>
      <c r="D335" s="141"/>
      <c r="E335" s="141"/>
      <c r="F335" s="36"/>
      <c r="G335" s="36"/>
      <c r="H335" s="36"/>
      <c r="I335" s="36"/>
      <c r="J335" s="10"/>
      <c r="K335"/>
      <c r="L335"/>
    </row>
    <row r="336" spans="1:13" s="3" customFormat="1" ht="13.2" x14ac:dyDescent="0.25">
      <c r="A336" s="3">
        <v>36</v>
      </c>
      <c r="B336" s="154" t="s">
        <v>245</v>
      </c>
      <c r="C336" s="154"/>
      <c r="D336" s="154"/>
      <c r="E336" s="154"/>
      <c r="F336" s="5">
        <f>F337</f>
        <v>100000</v>
      </c>
      <c r="G336" s="5">
        <f>G337</f>
        <v>0</v>
      </c>
      <c r="H336" s="5">
        <f>H337</f>
        <v>100000</v>
      </c>
      <c r="I336" s="5"/>
      <c r="J336" s="5">
        <v>100000</v>
      </c>
      <c r="K336" s="1"/>
      <c r="L336" s="1"/>
    </row>
    <row r="337" spans="1:12" s="1" customFormat="1" ht="13.2" x14ac:dyDescent="0.25">
      <c r="A337" s="1">
        <v>3631</v>
      </c>
      <c r="B337" s="153" t="s">
        <v>246</v>
      </c>
      <c r="C337" s="153"/>
      <c r="D337" s="153"/>
      <c r="E337" s="153"/>
      <c r="F337" s="36">
        <v>100000</v>
      </c>
      <c r="G337" s="36"/>
      <c r="H337" s="36">
        <v>100000</v>
      </c>
      <c r="I337" s="36"/>
      <c r="J337" s="36"/>
    </row>
    <row r="338" spans="1:12" s="1" customFormat="1" ht="13.2" x14ac:dyDescent="0.25">
      <c r="B338" s="126"/>
      <c r="C338" s="126"/>
      <c r="D338" s="126"/>
      <c r="E338" s="126"/>
      <c r="F338" s="36"/>
      <c r="G338" s="36"/>
      <c r="H338" s="36"/>
      <c r="I338" s="36"/>
      <c r="J338" s="36"/>
    </row>
    <row r="339" spans="1:12" s="3" customFormat="1" ht="13.2" x14ac:dyDescent="0.25">
      <c r="A339" s="158" t="s">
        <v>247</v>
      </c>
      <c r="B339" s="158"/>
      <c r="C339" s="158"/>
      <c r="D339" s="158"/>
      <c r="E339" s="158"/>
      <c r="F339" s="78"/>
      <c r="G339" s="78"/>
      <c r="H339" s="78">
        <f>H341</f>
        <v>100000</v>
      </c>
      <c r="I339" s="78"/>
      <c r="J339" s="78"/>
    </row>
    <row r="340" spans="1:12" s="1" customFormat="1" ht="13.2" x14ac:dyDescent="0.25">
      <c r="B340" s="126"/>
      <c r="C340" s="126"/>
      <c r="D340" s="126"/>
      <c r="E340" s="126"/>
      <c r="F340" s="36"/>
      <c r="G340" s="36"/>
      <c r="H340" s="36"/>
      <c r="I340" s="36"/>
      <c r="J340" s="36"/>
    </row>
    <row r="341" spans="1:12" s="1" customFormat="1" ht="13.2" x14ac:dyDescent="0.25">
      <c r="A341" s="3">
        <v>36</v>
      </c>
      <c r="B341" s="154" t="s">
        <v>245</v>
      </c>
      <c r="C341" s="154"/>
      <c r="D341" s="154"/>
      <c r="E341" s="154"/>
      <c r="F341" s="36"/>
      <c r="G341" s="36"/>
      <c r="H341" s="5">
        <f>H342</f>
        <v>100000</v>
      </c>
      <c r="I341" s="36"/>
      <c r="J341" s="36"/>
    </row>
    <row r="342" spans="1:12" s="1" customFormat="1" ht="13.2" x14ac:dyDescent="0.25">
      <c r="A342" s="1">
        <v>3631</v>
      </c>
      <c r="B342" s="153" t="s">
        <v>246</v>
      </c>
      <c r="C342" s="153"/>
      <c r="D342" s="153"/>
      <c r="E342" s="153"/>
      <c r="F342" s="36"/>
      <c r="G342" s="36"/>
      <c r="H342" s="36">
        <v>100000</v>
      </c>
      <c r="I342" s="36"/>
      <c r="J342" s="36"/>
    </row>
    <row r="343" spans="1:12" x14ac:dyDescent="0.3">
      <c r="B343" s="124"/>
      <c r="C343" s="125"/>
      <c r="D343" s="125"/>
      <c r="E343" s="125"/>
      <c r="H343" s="36"/>
      <c r="I343" s="10"/>
      <c r="J343" s="10"/>
    </row>
    <row r="344" spans="1:12" x14ac:dyDescent="0.3">
      <c r="A344" s="68" t="s">
        <v>248</v>
      </c>
      <c r="B344" s="69"/>
      <c r="C344" s="69"/>
      <c r="D344" s="69"/>
      <c r="E344" s="69"/>
      <c r="F344" s="70">
        <f t="shared" ref="F344:J344" si="45">F348</f>
        <v>100000</v>
      </c>
      <c r="G344" s="70">
        <f t="shared" si="45"/>
        <v>0</v>
      </c>
      <c r="H344" s="70">
        <f t="shared" si="45"/>
        <v>100000</v>
      </c>
      <c r="I344" s="70">
        <f t="shared" si="45"/>
        <v>0</v>
      </c>
      <c r="J344" s="70">
        <f t="shared" si="45"/>
        <v>0</v>
      </c>
    </row>
    <row r="345" spans="1:12" s="1" customFormat="1" x14ac:dyDescent="0.3">
      <c r="A345" s="142" t="s">
        <v>249</v>
      </c>
      <c r="B345" s="142"/>
      <c r="C345" s="142"/>
      <c r="D345" s="142"/>
      <c r="E345" s="142"/>
      <c r="F345" s="67"/>
      <c r="G345" s="67"/>
      <c r="H345" s="67"/>
      <c r="I345" s="67"/>
      <c r="J345" s="80"/>
      <c r="K345"/>
      <c r="L345"/>
    </row>
    <row r="346" spans="1:12" s="1" customFormat="1" x14ac:dyDescent="0.3">
      <c r="A346" s="144" t="s">
        <v>250</v>
      </c>
      <c r="B346" s="144"/>
      <c r="C346" s="144"/>
      <c r="D346" s="144"/>
      <c r="E346" s="144"/>
      <c r="F346" s="67"/>
      <c r="G346" s="67"/>
      <c r="H346" s="67"/>
      <c r="I346" s="67"/>
      <c r="J346" s="80"/>
      <c r="K346"/>
      <c r="L346"/>
    </row>
    <row r="347" spans="1:12" x14ac:dyDescent="0.3">
      <c r="I347" s="10"/>
      <c r="J347" s="10"/>
    </row>
    <row r="348" spans="1:12" x14ac:dyDescent="0.3">
      <c r="A348" s="3">
        <v>4</v>
      </c>
      <c r="B348" s="3" t="s">
        <v>38</v>
      </c>
      <c r="C348" s="3"/>
      <c r="D348" s="3"/>
      <c r="E348" s="3"/>
      <c r="F348" s="5">
        <f t="shared" ref="F348:J350" si="46">F349</f>
        <v>100000</v>
      </c>
      <c r="G348" s="5">
        <f t="shared" si="46"/>
        <v>0</v>
      </c>
      <c r="H348" s="5">
        <f t="shared" si="46"/>
        <v>100000</v>
      </c>
      <c r="I348" s="5">
        <f t="shared" si="46"/>
        <v>0</v>
      </c>
      <c r="J348" s="5">
        <f t="shared" si="46"/>
        <v>0</v>
      </c>
      <c r="K348" s="3"/>
      <c r="L348" s="3"/>
    </row>
    <row r="349" spans="1:12" x14ac:dyDescent="0.3">
      <c r="A349" s="3">
        <v>42</v>
      </c>
      <c r="B349" s="3" t="s">
        <v>251</v>
      </c>
      <c r="C349" s="3"/>
      <c r="D349" s="3"/>
      <c r="E349" s="3"/>
      <c r="F349" s="5">
        <f t="shared" si="46"/>
        <v>100000</v>
      </c>
      <c r="G349" s="5">
        <f t="shared" si="46"/>
        <v>0</v>
      </c>
      <c r="H349" s="5">
        <f t="shared" si="46"/>
        <v>100000</v>
      </c>
      <c r="I349" s="5">
        <f t="shared" si="46"/>
        <v>0</v>
      </c>
      <c r="J349" s="5">
        <f t="shared" si="46"/>
        <v>0</v>
      </c>
      <c r="K349" s="1"/>
      <c r="L349" s="1"/>
    </row>
    <row r="350" spans="1:12" x14ac:dyDescent="0.3">
      <c r="A350" s="3">
        <v>426</v>
      </c>
      <c r="B350" s="3" t="s">
        <v>252</v>
      </c>
      <c r="C350" s="3"/>
      <c r="D350" s="3"/>
      <c r="E350" s="3"/>
      <c r="F350" s="5">
        <f t="shared" si="46"/>
        <v>100000</v>
      </c>
      <c r="G350" s="5">
        <f t="shared" si="46"/>
        <v>0</v>
      </c>
      <c r="H350" s="5">
        <f t="shared" si="46"/>
        <v>100000</v>
      </c>
      <c r="I350" s="5">
        <f t="shared" si="46"/>
        <v>0</v>
      </c>
      <c r="J350" s="5">
        <f t="shared" si="46"/>
        <v>0</v>
      </c>
      <c r="K350" s="3"/>
      <c r="L350" s="3"/>
    </row>
    <row r="351" spans="1:12" x14ac:dyDescent="0.3">
      <c r="A351">
        <v>4263</v>
      </c>
      <c r="B351" s="1" t="s">
        <v>253</v>
      </c>
      <c r="F351" s="36">
        <v>100000</v>
      </c>
      <c r="H351" s="10">
        <v>100000</v>
      </c>
      <c r="I351" s="10"/>
      <c r="J351" s="5"/>
      <c r="K351" s="3"/>
      <c r="L351" s="3"/>
    </row>
    <row r="352" spans="1:12" x14ac:dyDescent="0.3">
      <c r="B352" s="1"/>
      <c r="F352" s="36"/>
      <c r="I352" s="10"/>
      <c r="J352" s="5"/>
      <c r="K352" s="3"/>
      <c r="L352" s="3"/>
    </row>
    <row r="353" spans="1:12" s="3" customFormat="1" ht="13.8" x14ac:dyDescent="0.25">
      <c r="A353" s="90" t="s">
        <v>254</v>
      </c>
      <c r="B353" s="90"/>
      <c r="C353" s="90"/>
      <c r="D353" s="90"/>
      <c r="E353" s="90"/>
      <c r="F353" s="77">
        <f t="shared" ref="F353:J353" si="47">F356</f>
        <v>17000</v>
      </c>
      <c r="G353" s="77">
        <f t="shared" si="47"/>
        <v>6601.25</v>
      </c>
      <c r="H353" s="77">
        <f t="shared" si="47"/>
        <v>78000</v>
      </c>
      <c r="I353" s="77">
        <f t="shared" si="47"/>
        <v>0</v>
      </c>
      <c r="J353" s="77">
        <f t="shared" si="47"/>
        <v>0</v>
      </c>
    </row>
    <row r="354" spans="1:12" s="1" customFormat="1" x14ac:dyDescent="0.3">
      <c r="A354" s="144" t="s">
        <v>132</v>
      </c>
      <c r="B354" s="144"/>
      <c r="C354" s="144"/>
      <c r="D354" s="144"/>
      <c r="E354" s="144"/>
      <c r="F354" s="67"/>
      <c r="G354" s="67"/>
      <c r="H354" s="67"/>
      <c r="I354" s="67"/>
      <c r="J354" s="80"/>
      <c r="K354"/>
      <c r="L354"/>
    </row>
    <row r="355" spans="1:12" s="3" customFormat="1" x14ac:dyDescent="0.3">
      <c r="F355" s="5"/>
      <c r="G355" s="5"/>
      <c r="H355" s="5"/>
      <c r="I355" s="5"/>
      <c r="J355" s="10"/>
      <c r="K355"/>
      <c r="L355"/>
    </row>
    <row r="356" spans="1:12" s="3" customFormat="1" ht="13.2" x14ac:dyDescent="0.25">
      <c r="A356" s="3">
        <v>4</v>
      </c>
      <c r="B356" s="3" t="s">
        <v>38</v>
      </c>
      <c r="F356" s="5">
        <f t="shared" ref="F356:H356" si="48">F357</f>
        <v>17000</v>
      </c>
      <c r="G356" s="5">
        <f>G357</f>
        <v>6601.25</v>
      </c>
      <c r="H356" s="5">
        <f t="shared" si="48"/>
        <v>78000</v>
      </c>
      <c r="I356" s="5"/>
      <c r="J356" s="5"/>
    </row>
    <row r="357" spans="1:12" s="3" customFormat="1" x14ac:dyDescent="0.3">
      <c r="A357" s="3">
        <v>42</v>
      </c>
      <c r="B357" s="3" t="s">
        <v>251</v>
      </c>
      <c r="F357" s="5">
        <f>F358+F360</f>
        <v>17000</v>
      </c>
      <c r="G357" s="5">
        <f>G358+G360</f>
        <v>6601.25</v>
      </c>
      <c r="H357" s="5">
        <f>H358+H360</f>
        <v>78000</v>
      </c>
      <c r="I357" s="5"/>
      <c r="J357" s="5"/>
      <c r="K357"/>
      <c r="L357"/>
    </row>
    <row r="358" spans="1:12" s="3" customFormat="1" x14ac:dyDescent="0.3">
      <c r="A358" s="3">
        <v>422</v>
      </c>
      <c r="B358" s="3" t="s">
        <v>255</v>
      </c>
      <c r="F358" s="5">
        <f t="shared" ref="F358:H358" si="49">F359</f>
        <v>15000</v>
      </c>
      <c r="G358" s="5">
        <f t="shared" si="49"/>
        <v>4641.25</v>
      </c>
      <c r="H358" s="5">
        <f t="shared" si="49"/>
        <v>50000</v>
      </c>
      <c r="I358" s="5"/>
      <c r="J358" s="5"/>
      <c r="K358"/>
      <c r="L358"/>
    </row>
    <row r="359" spans="1:12" x14ac:dyDescent="0.3">
      <c r="A359">
        <v>4221</v>
      </c>
      <c r="B359" s="1" t="s">
        <v>256</v>
      </c>
      <c r="E359" s="38" t="s">
        <v>257</v>
      </c>
      <c r="F359" s="10">
        <v>15000</v>
      </c>
      <c r="G359" s="10">
        <f>3453.75+1187.5</f>
        <v>4641.25</v>
      </c>
      <c r="H359" s="10">
        <v>50000</v>
      </c>
      <c r="I359" s="10"/>
      <c r="J359" s="10"/>
    </row>
    <row r="360" spans="1:12" s="3" customFormat="1" x14ac:dyDescent="0.3">
      <c r="A360" s="3">
        <v>426</v>
      </c>
      <c r="B360" s="3" t="s">
        <v>258</v>
      </c>
      <c r="F360" s="5">
        <f t="shared" ref="F360" si="50">F361</f>
        <v>2000</v>
      </c>
      <c r="G360" s="5">
        <f>G361</f>
        <v>1960</v>
      </c>
      <c r="H360" s="5">
        <f>H361</f>
        <v>28000</v>
      </c>
      <c r="I360" s="5"/>
      <c r="J360" s="5"/>
      <c r="K360"/>
      <c r="L360"/>
    </row>
    <row r="361" spans="1:12" x14ac:dyDescent="0.3">
      <c r="A361">
        <v>4262</v>
      </c>
      <c r="B361" s="1" t="s">
        <v>259</v>
      </c>
      <c r="F361" s="10">
        <v>2000</v>
      </c>
      <c r="G361" s="10">
        <v>1960</v>
      </c>
      <c r="H361" s="10">
        <v>28000</v>
      </c>
      <c r="I361" s="10"/>
      <c r="J361" s="10"/>
    </row>
    <row r="362" spans="1:12" x14ac:dyDescent="0.3">
      <c r="I362" s="10"/>
      <c r="J362" s="10"/>
    </row>
    <row r="363" spans="1:12" x14ac:dyDescent="0.3">
      <c r="A363" s="61" t="s">
        <v>260</v>
      </c>
      <c r="B363" s="61"/>
      <c r="C363" s="61"/>
      <c r="D363" s="61"/>
      <c r="E363" s="61"/>
      <c r="F363" s="62">
        <f t="shared" ref="F363:J363" si="51">F367</f>
        <v>45800</v>
      </c>
      <c r="G363" s="62">
        <f>G367</f>
        <v>38536.36</v>
      </c>
      <c r="H363" s="62">
        <f>H367</f>
        <v>65706</v>
      </c>
      <c r="I363" s="62">
        <f t="shared" si="51"/>
        <v>66400</v>
      </c>
      <c r="J363" s="62">
        <f t="shared" si="51"/>
        <v>66400</v>
      </c>
    </row>
    <row r="364" spans="1:12" x14ac:dyDescent="0.3">
      <c r="A364" s="61"/>
      <c r="B364" s="61" t="s">
        <v>261</v>
      </c>
      <c r="C364" s="61"/>
      <c r="D364" s="61"/>
      <c r="E364" s="61"/>
      <c r="F364" s="62"/>
      <c r="G364" s="62"/>
      <c r="H364" s="62"/>
      <c r="I364" s="91"/>
      <c r="J364" s="91"/>
    </row>
    <row r="365" spans="1:12" x14ac:dyDescent="0.3">
      <c r="A365" s="63" t="s">
        <v>131</v>
      </c>
      <c r="B365" s="63"/>
      <c r="C365" s="63"/>
      <c r="D365" s="63"/>
      <c r="E365" s="63"/>
      <c r="F365" s="64"/>
      <c r="G365" s="64"/>
      <c r="H365" s="64"/>
      <c r="I365" s="64"/>
      <c r="J365" s="64"/>
    </row>
    <row r="366" spans="1:12" x14ac:dyDescent="0.3">
      <c r="A366" s="68" t="s">
        <v>262</v>
      </c>
      <c r="B366" s="69"/>
      <c r="C366" s="69"/>
      <c r="D366" s="69"/>
      <c r="E366" s="69"/>
      <c r="F366" s="87"/>
      <c r="G366" s="87"/>
      <c r="H366" s="87"/>
      <c r="I366" s="88"/>
      <c r="J366" s="88"/>
    </row>
    <row r="367" spans="1:12" x14ac:dyDescent="0.3">
      <c r="A367" s="68"/>
      <c r="B367" s="68" t="s">
        <v>261</v>
      </c>
      <c r="C367" s="69"/>
      <c r="D367" s="69"/>
      <c r="E367" s="69"/>
      <c r="F367" s="70">
        <f>F370</f>
        <v>45800</v>
      </c>
      <c r="G367" s="70">
        <f>G370</f>
        <v>38536.36</v>
      </c>
      <c r="H367" s="70">
        <f>H370</f>
        <v>65706</v>
      </c>
      <c r="I367" s="70">
        <f t="shared" ref="I367:J367" si="52">I370</f>
        <v>66400</v>
      </c>
      <c r="J367" s="70">
        <f t="shared" si="52"/>
        <v>66400</v>
      </c>
      <c r="K367" s="3"/>
      <c r="L367" s="3"/>
    </row>
    <row r="368" spans="1:12" x14ac:dyDescent="0.3">
      <c r="A368" s="144" t="s">
        <v>263</v>
      </c>
      <c r="B368" s="145"/>
      <c r="C368" s="145"/>
      <c r="D368" s="145"/>
      <c r="E368" s="145"/>
      <c r="F368" s="80"/>
      <c r="G368" s="80"/>
      <c r="H368" s="80"/>
      <c r="I368" s="80"/>
      <c r="J368" s="80"/>
    </row>
    <row r="369" spans="1:12" x14ac:dyDescent="0.3">
      <c r="I369" s="10"/>
      <c r="J369" s="10"/>
    </row>
    <row r="370" spans="1:12" x14ac:dyDescent="0.3">
      <c r="A370" s="3">
        <v>31</v>
      </c>
      <c r="B370" s="3" t="s">
        <v>264</v>
      </c>
      <c r="C370" s="3"/>
      <c r="D370" s="3"/>
      <c r="E370" s="3"/>
      <c r="F370" s="5">
        <f>F371+F374</f>
        <v>45800</v>
      </c>
      <c r="G370" s="5">
        <f>G371+G374</f>
        <v>38536.36</v>
      </c>
      <c r="H370" s="5">
        <f>H371+H374</f>
        <v>65706</v>
      </c>
      <c r="I370" s="5">
        <v>66400</v>
      </c>
      <c r="J370" s="5">
        <v>66400</v>
      </c>
      <c r="K370" s="3"/>
      <c r="L370" s="3"/>
    </row>
    <row r="371" spans="1:12" x14ac:dyDescent="0.3">
      <c r="A371" s="3">
        <v>311</v>
      </c>
      <c r="B371" s="3" t="s">
        <v>177</v>
      </c>
      <c r="C371" s="3"/>
      <c r="D371" s="3"/>
      <c r="E371" s="3"/>
      <c r="F371" s="5">
        <f>SUM(F372:F373)</f>
        <v>39500</v>
      </c>
      <c r="G371" s="5">
        <f>SUM(G372:G373)</f>
        <v>33078.42</v>
      </c>
      <c r="H371" s="5">
        <f>SUM(H372:H373)</f>
        <v>56400</v>
      </c>
      <c r="I371" s="5"/>
      <c r="J371" s="5"/>
      <c r="K371" s="5">
        <f>4700*12</f>
        <v>56400</v>
      </c>
      <c r="L371" s="1" t="s">
        <v>265</v>
      </c>
    </row>
    <row r="372" spans="1:12" s="3" customFormat="1" x14ac:dyDescent="0.3">
      <c r="A372">
        <v>3111</v>
      </c>
      <c r="B372" t="s">
        <v>178</v>
      </c>
      <c r="C372"/>
      <c r="D372"/>
      <c r="E372"/>
      <c r="F372" s="36">
        <v>30000</v>
      </c>
      <c r="G372" s="34">
        <v>26462.74</v>
      </c>
      <c r="H372" s="34">
        <v>56400</v>
      </c>
      <c r="I372" s="36"/>
      <c r="J372" s="10"/>
      <c r="K372"/>
      <c r="L372"/>
    </row>
    <row r="373" spans="1:12" x14ac:dyDescent="0.3">
      <c r="A373">
        <v>3111</v>
      </c>
      <c r="B373" t="s">
        <v>137</v>
      </c>
      <c r="F373" s="10">
        <v>9500</v>
      </c>
      <c r="G373" s="40">
        <v>6615.68</v>
      </c>
      <c r="H373" s="34"/>
      <c r="I373" s="10"/>
      <c r="J373" s="10"/>
    </row>
    <row r="374" spans="1:12" x14ac:dyDescent="0.3">
      <c r="A374" s="3">
        <v>313</v>
      </c>
      <c r="B374" s="3" t="s">
        <v>138</v>
      </c>
      <c r="C374" s="3"/>
      <c r="D374" s="3"/>
      <c r="E374" s="3"/>
      <c r="F374" s="5">
        <f>SUM(F375:F375)</f>
        <v>6300</v>
      </c>
      <c r="G374" s="26">
        <f>SUM(G375:G375)</f>
        <v>5457.94</v>
      </c>
      <c r="H374" s="26">
        <f>SUM(H375:H375)</f>
        <v>9306</v>
      </c>
      <c r="I374" s="26"/>
      <c r="J374" s="26"/>
    </row>
    <row r="375" spans="1:12" x14ac:dyDescent="0.3">
      <c r="A375">
        <v>3132</v>
      </c>
      <c r="B375" t="s">
        <v>139</v>
      </c>
      <c r="F375" s="10">
        <v>6300</v>
      </c>
      <c r="G375" s="40">
        <v>5457.94</v>
      </c>
      <c r="H375" s="40">
        <f>56400*16.5/100</f>
        <v>9306</v>
      </c>
      <c r="I375" s="10"/>
      <c r="J375" s="36"/>
      <c r="K375" s="130">
        <f>K371*16.5/100</f>
        <v>9306</v>
      </c>
      <c r="L375" s="130"/>
    </row>
    <row r="376" spans="1:12" x14ac:dyDescent="0.3">
      <c r="I376" s="10"/>
      <c r="J376" s="73"/>
      <c r="K376" s="130"/>
      <c r="L376" s="130"/>
    </row>
    <row r="377" spans="1:12" s="130" customFormat="1" x14ac:dyDescent="0.3">
      <c r="A377" s="59" t="s">
        <v>266</v>
      </c>
      <c r="B377" s="59"/>
      <c r="C377" s="59"/>
      <c r="D377" s="59"/>
      <c r="E377" s="59"/>
      <c r="F377" s="92">
        <f>F378+F392</f>
        <v>184000</v>
      </c>
      <c r="G377" s="92">
        <f>G378+G392</f>
        <v>25694.739999999998</v>
      </c>
      <c r="H377" s="92">
        <f>H378+H392</f>
        <v>209000</v>
      </c>
      <c r="I377" s="92">
        <f t="shared" ref="I377:J377" si="53">I378+I392</f>
        <v>204000</v>
      </c>
      <c r="J377" s="92">
        <f t="shared" si="53"/>
        <v>204000</v>
      </c>
      <c r="K377"/>
      <c r="L377"/>
    </row>
    <row r="378" spans="1:12" s="130" customFormat="1" x14ac:dyDescent="0.3">
      <c r="A378" s="61" t="s">
        <v>267</v>
      </c>
      <c r="B378" s="61"/>
      <c r="C378" s="61"/>
      <c r="D378" s="61"/>
      <c r="E378" s="61"/>
      <c r="F378" s="82">
        <f t="shared" ref="F378:J378" si="54">F381</f>
        <v>144000</v>
      </c>
      <c r="G378" s="82">
        <f t="shared" si="54"/>
        <v>25694.739999999998</v>
      </c>
      <c r="H378" s="82">
        <f t="shared" si="54"/>
        <v>169000</v>
      </c>
      <c r="I378" s="82">
        <f t="shared" si="54"/>
        <v>164000</v>
      </c>
      <c r="J378" s="82">
        <f t="shared" si="54"/>
        <v>164000</v>
      </c>
      <c r="K378"/>
      <c r="L378"/>
    </row>
    <row r="379" spans="1:12" s="130" customFormat="1" x14ac:dyDescent="0.3">
      <c r="A379" s="63" t="s">
        <v>268</v>
      </c>
      <c r="B379" s="63"/>
      <c r="C379" s="63"/>
      <c r="D379" s="63"/>
      <c r="E379" s="63"/>
      <c r="F379" s="93"/>
      <c r="G379" s="93"/>
      <c r="H379" s="93"/>
      <c r="I379" s="93"/>
      <c r="J379" s="64"/>
      <c r="K379"/>
      <c r="L379"/>
    </row>
    <row r="380" spans="1:12" s="130" customFormat="1" x14ac:dyDescent="0.3">
      <c r="A380" s="68" t="s">
        <v>269</v>
      </c>
      <c r="B380" s="68"/>
      <c r="C380" s="68"/>
      <c r="D380" s="68"/>
      <c r="E380" s="68"/>
      <c r="F380" s="94"/>
      <c r="G380" s="94"/>
      <c r="H380" s="94"/>
      <c r="I380" s="95"/>
      <c r="J380" s="88"/>
      <c r="K380"/>
      <c r="L380"/>
    </row>
    <row r="381" spans="1:12" s="130" customFormat="1" x14ac:dyDescent="0.3">
      <c r="A381" s="68"/>
      <c r="B381" s="68" t="s">
        <v>270</v>
      </c>
      <c r="C381" s="68"/>
      <c r="D381" s="68"/>
      <c r="E381" s="68"/>
      <c r="F381" s="76">
        <f t="shared" ref="F381:J381" si="55">F384</f>
        <v>144000</v>
      </c>
      <c r="G381" s="76">
        <f t="shared" si="55"/>
        <v>25694.739999999998</v>
      </c>
      <c r="H381" s="76">
        <f t="shared" si="55"/>
        <v>169000</v>
      </c>
      <c r="I381" s="76">
        <f t="shared" si="55"/>
        <v>164000</v>
      </c>
      <c r="J381" s="76">
        <f t="shared" si="55"/>
        <v>164000</v>
      </c>
      <c r="K381"/>
      <c r="L381"/>
    </row>
    <row r="382" spans="1:12" x14ac:dyDescent="0.3">
      <c r="A382" s="142" t="s">
        <v>271</v>
      </c>
      <c r="B382" s="142"/>
      <c r="C382" s="142"/>
      <c r="D382" s="142"/>
      <c r="E382" s="142"/>
      <c r="F382" s="80"/>
      <c r="G382" s="80"/>
      <c r="H382" s="80"/>
      <c r="I382" s="80"/>
      <c r="J382" s="80"/>
    </row>
    <row r="383" spans="1:12" x14ac:dyDescent="0.3">
      <c r="A383" s="2"/>
      <c r="B383" s="2"/>
      <c r="C383" s="2"/>
      <c r="D383" s="2"/>
      <c r="E383" s="2"/>
      <c r="I383" s="10"/>
      <c r="J383" s="10"/>
    </row>
    <row r="384" spans="1:12" x14ac:dyDescent="0.3">
      <c r="A384" s="3">
        <v>3</v>
      </c>
      <c r="B384" s="3" t="s">
        <v>8</v>
      </c>
      <c r="C384" s="3"/>
      <c r="D384" s="3"/>
      <c r="E384" s="3"/>
      <c r="F384" s="5">
        <f>F385+F389</f>
        <v>144000</v>
      </c>
      <c r="G384" s="5">
        <f>G385+G389</f>
        <v>25694.739999999998</v>
      </c>
      <c r="H384" s="5">
        <f>H385+H389</f>
        <v>169000</v>
      </c>
      <c r="I384" s="5">
        <f>I385+I388</f>
        <v>164000</v>
      </c>
      <c r="J384" s="5">
        <f>J385+J388</f>
        <v>164000</v>
      </c>
      <c r="K384" s="2"/>
      <c r="L384" s="2"/>
    </row>
    <row r="385" spans="1:12" x14ac:dyDescent="0.3">
      <c r="A385" s="3">
        <v>35</v>
      </c>
      <c r="B385" s="3" t="s">
        <v>272</v>
      </c>
      <c r="C385" s="3"/>
      <c r="D385" s="3"/>
      <c r="E385" s="3"/>
      <c r="F385" s="5">
        <f t="shared" ref="F385:H385" si="56">F386</f>
        <v>120000</v>
      </c>
      <c r="G385" s="5">
        <f t="shared" si="56"/>
        <v>5694.74</v>
      </c>
      <c r="H385" s="5">
        <f t="shared" si="56"/>
        <v>145000</v>
      </c>
      <c r="I385" s="5">
        <v>140000</v>
      </c>
      <c r="J385" s="5">
        <v>140000</v>
      </c>
      <c r="K385" s="2"/>
      <c r="L385" s="2"/>
    </row>
    <row r="386" spans="1:12" x14ac:dyDescent="0.3">
      <c r="A386" s="3">
        <v>352</v>
      </c>
      <c r="B386" s="3" t="s">
        <v>273</v>
      </c>
      <c r="C386" s="3"/>
      <c r="D386" s="3"/>
      <c r="E386" s="3"/>
      <c r="F386" s="5">
        <f>SUM(F387:F387)</f>
        <v>120000</v>
      </c>
      <c r="G386" s="5">
        <f>SUM(G387:G387)</f>
        <v>5694.74</v>
      </c>
      <c r="H386" s="5">
        <f>SUM(H387:H387)</f>
        <v>145000</v>
      </c>
      <c r="I386" s="5"/>
      <c r="J386" s="5"/>
      <c r="K386" s="2"/>
      <c r="L386" s="2"/>
    </row>
    <row r="387" spans="1:12" x14ac:dyDescent="0.3">
      <c r="A387">
        <v>3523</v>
      </c>
      <c r="B387" t="s">
        <v>274</v>
      </c>
      <c r="F387" s="36">
        <v>120000</v>
      </c>
      <c r="G387" s="36">
        <f>894.74+4800</f>
        <v>5694.74</v>
      </c>
      <c r="H387" s="36">
        <v>145000</v>
      </c>
      <c r="I387" s="10"/>
      <c r="J387" s="36"/>
      <c r="K387" s="2"/>
      <c r="L387" s="2"/>
    </row>
    <row r="388" spans="1:12" s="2" customFormat="1" ht="13.8" x14ac:dyDescent="0.25">
      <c r="A388" s="3">
        <v>36</v>
      </c>
      <c r="B388" s="3" t="s">
        <v>275</v>
      </c>
      <c r="C388" s="3"/>
      <c r="D388" s="3"/>
      <c r="E388" s="3"/>
      <c r="F388" s="5">
        <f t="shared" ref="F388:H389" si="57">F389</f>
        <v>24000</v>
      </c>
      <c r="G388" s="5">
        <f t="shared" si="57"/>
        <v>20000</v>
      </c>
      <c r="H388" s="5">
        <f t="shared" si="57"/>
        <v>24000</v>
      </c>
      <c r="I388" s="5">
        <v>24000</v>
      </c>
      <c r="J388" s="5">
        <v>24000</v>
      </c>
    </row>
    <row r="389" spans="1:12" s="2" customFormat="1" ht="13.8" x14ac:dyDescent="0.25">
      <c r="A389" s="3">
        <v>363</v>
      </c>
      <c r="B389" s="3" t="s">
        <v>275</v>
      </c>
      <c r="C389" s="3"/>
      <c r="D389" s="3"/>
      <c r="E389" s="3"/>
      <c r="F389" s="5">
        <f t="shared" si="57"/>
        <v>24000</v>
      </c>
      <c r="G389" s="5">
        <f t="shared" si="57"/>
        <v>20000</v>
      </c>
      <c r="H389" s="5">
        <f t="shared" si="57"/>
        <v>24000</v>
      </c>
      <c r="I389" s="5"/>
      <c r="J389" s="5"/>
    </row>
    <row r="390" spans="1:12" s="2" customFormat="1" x14ac:dyDescent="0.3">
      <c r="A390">
        <v>3631</v>
      </c>
      <c r="B390" s="1" t="s">
        <v>276</v>
      </c>
      <c r="C390"/>
      <c r="D390"/>
      <c r="E390"/>
      <c r="F390" s="36">
        <v>24000</v>
      </c>
      <c r="G390" s="36">
        <v>20000</v>
      </c>
      <c r="H390" s="36">
        <v>24000</v>
      </c>
      <c r="I390" s="36"/>
      <c r="J390" s="36"/>
    </row>
    <row r="391" spans="1:12" s="2" customFormat="1" x14ac:dyDescent="0.3">
      <c r="A391"/>
      <c r="B391" s="1"/>
      <c r="C391"/>
      <c r="D391"/>
      <c r="E391"/>
      <c r="F391" s="36"/>
      <c r="G391" s="36"/>
      <c r="H391" s="36"/>
      <c r="I391" s="35"/>
      <c r="J391" s="35"/>
    </row>
    <row r="392" spans="1:12" s="2" customFormat="1" ht="13.8" x14ac:dyDescent="0.25">
      <c r="A392" s="61" t="s">
        <v>277</v>
      </c>
      <c r="B392" s="61"/>
      <c r="C392" s="61"/>
      <c r="D392" s="61"/>
      <c r="E392" s="61"/>
      <c r="F392" s="82">
        <f t="shared" ref="F392:J392" si="58">F394</f>
        <v>40000</v>
      </c>
      <c r="G392" s="82">
        <f t="shared" si="58"/>
        <v>0</v>
      </c>
      <c r="H392" s="82">
        <f>H394</f>
        <v>40000</v>
      </c>
      <c r="I392" s="82">
        <f t="shared" si="58"/>
        <v>40000</v>
      </c>
      <c r="J392" s="82">
        <f t="shared" si="58"/>
        <v>40000</v>
      </c>
    </row>
    <row r="393" spans="1:12" s="2" customFormat="1" ht="13.8" x14ac:dyDescent="0.25">
      <c r="A393" s="63" t="s">
        <v>268</v>
      </c>
      <c r="B393" s="63"/>
      <c r="C393" s="63"/>
      <c r="D393" s="63"/>
      <c r="E393" s="63"/>
      <c r="F393" s="93"/>
      <c r="G393" s="93"/>
      <c r="H393" s="93"/>
      <c r="I393" s="96"/>
      <c r="J393" s="96"/>
    </row>
    <row r="394" spans="1:12" s="2" customFormat="1" ht="13.8" x14ac:dyDescent="0.25">
      <c r="A394" s="68" t="s">
        <v>278</v>
      </c>
      <c r="B394" s="68"/>
      <c r="C394" s="68"/>
      <c r="D394" s="68"/>
      <c r="E394" s="68"/>
      <c r="F394" s="76">
        <f t="shared" ref="F394:J394" si="59">F397</f>
        <v>40000</v>
      </c>
      <c r="G394" s="76">
        <f t="shared" si="59"/>
        <v>0</v>
      </c>
      <c r="H394" s="76">
        <f t="shared" si="59"/>
        <v>40000</v>
      </c>
      <c r="I394" s="76">
        <f t="shared" si="59"/>
        <v>40000</v>
      </c>
      <c r="J394" s="76">
        <f t="shared" si="59"/>
        <v>40000</v>
      </c>
    </row>
    <row r="395" spans="1:12" s="2" customFormat="1" ht="13.8" x14ac:dyDescent="0.25">
      <c r="A395" s="144" t="s">
        <v>132</v>
      </c>
      <c r="B395" s="144"/>
      <c r="C395" s="144"/>
      <c r="D395" s="144"/>
      <c r="E395" s="144"/>
      <c r="F395" s="67"/>
      <c r="G395" s="67"/>
      <c r="H395" s="67"/>
      <c r="I395" s="84"/>
      <c r="J395" s="84"/>
    </row>
    <row r="396" spans="1:12" s="2" customFormat="1" x14ac:dyDescent="0.3">
      <c r="A396" s="1"/>
      <c r="B396" s="1"/>
      <c r="C396"/>
      <c r="D396"/>
      <c r="E396"/>
      <c r="F396" s="36"/>
      <c r="G396" s="36"/>
      <c r="H396" s="36"/>
      <c r="I396" s="35"/>
      <c r="J396" s="35"/>
    </row>
    <row r="397" spans="1:12" s="2" customFormat="1" ht="13.8" x14ac:dyDescent="0.25">
      <c r="A397" s="3">
        <v>3</v>
      </c>
      <c r="B397" s="3" t="s">
        <v>8</v>
      </c>
      <c r="C397" s="3"/>
      <c r="D397" s="3"/>
      <c r="E397" s="3"/>
      <c r="F397" s="5">
        <f t="shared" ref="F397:J399" si="60">F398</f>
        <v>40000</v>
      </c>
      <c r="G397" s="5">
        <f t="shared" si="60"/>
        <v>0</v>
      </c>
      <c r="H397" s="5">
        <f t="shared" si="60"/>
        <v>40000</v>
      </c>
      <c r="I397" s="5">
        <f t="shared" si="60"/>
        <v>40000</v>
      </c>
      <c r="J397" s="5">
        <f t="shared" si="60"/>
        <v>40000</v>
      </c>
    </row>
    <row r="398" spans="1:12" s="2" customFormat="1" ht="13.8" x14ac:dyDescent="0.25">
      <c r="A398" s="3">
        <v>35</v>
      </c>
      <c r="B398" s="3" t="s">
        <v>272</v>
      </c>
      <c r="C398" s="3"/>
      <c r="D398" s="3"/>
      <c r="E398" s="3"/>
      <c r="F398" s="5">
        <f t="shared" si="60"/>
        <v>40000</v>
      </c>
      <c r="G398" s="5">
        <f t="shared" si="60"/>
        <v>0</v>
      </c>
      <c r="H398" s="5">
        <f t="shared" si="60"/>
        <v>40000</v>
      </c>
      <c r="I398" s="5">
        <v>40000</v>
      </c>
      <c r="J398" s="5">
        <v>40000</v>
      </c>
    </row>
    <row r="399" spans="1:12" s="2" customFormat="1" ht="13.8" x14ac:dyDescent="0.25">
      <c r="A399" s="3">
        <v>352</v>
      </c>
      <c r="B399" s="3" t="s">
        <v>279</v>
      </c>
      <c r="C399" s="3"/>
      <c r="D399" s="3"/>
      <c r="E399" s="3"/>
      <c r="F399" s="5">
        <f t="shared" si="60"/>
        <v>40000</v>
      </c>
      <c r="G399" s="5">
        <f t="shared" si="60"/>
        <v>0</v>
      </c>
      <c r="H399" s="5">
        <f t="shared" si="60"/>
        <v>40000</v>
      </c>
      <c r="I399" s="5"/>
      <c r="J399" s="5"/>
    </row>
    <row r="400" spans="1:12" s="2" customFormat="1" x14ac:dyDescent="0.3">
      <c r="A400">
        <v>3523</v>
      </c>
      <c r="B400" s="1" t="s">
        <v>280</v>
      </c>
      <c r="C400"/>
      <c r="D400"/>
      <c r="E400"/>
      <c r="F400" s="36">
        <v>40000</v>
      </c>
      <c r="G400" s="36"/>
      <c r="H400" s="36">
        <v>40000</v>
      </c>
      <c r="I400" s="35"/>
      <c r="J400" s="10"/>
      <c r="K400"/>
      <c r="L400"/>
    </row>
    <row r="401" spans="1:12" s="2" customFormat="1" x14ac:dyDescent="0.3">
      <c r="A401"/>
      <c r="B401" s="1"/>
      <c r="C401"/>
      <c r="D401"/>
      <c r="E401"/>
      <c r="F401" s="35"/>
      <c r="G401" s="35"/>
      <c r="H401" s="35"/>
      <c r="I401" s="35"/>
      <c r="J401" s="10"/>
      <c r="K401"/>
      <c r="L401"/>
    </row>
    <row r="402" spans="1:12" s="2" customFormat="1" x14ac:dyDescent="0.3">
      <c r="A402" s="59" t="s">
        <v>281</v>
      </c>
      <c r="B402" s="59"/>
      <c r="C402" s="59"/>
      <c r="D402" s="59"/>
      <c r="E402" s="59"/>
      <c r="F402" s="92">
        <f>F404+F445+F507+F519+F561+F574+F592</f>
        <v>15664000</v>
      </c>
      <c r="G402" s="92" t="e">
        <f>G404+G445+G507+G519+G561+G574+G592</f>
        <v>#REF!</v>
      </c>
      <c r="H402" s="92">
        <f>H404+H445+H507+H519+H561+H574+H592</f>
        <v>7377000</v>
      </c>
      <c r="I402" s="92">
        <f>I404+I445+I507+I519+I561+I574+I592</f>
        <v>5748000</v>
      </c>
      <c r="J402" s="92">
        <f>J404+J445+J507+J519+J561+J574+J592</f>
        <v>10932000</v>
      </c>
      <c r="K402"/>
      <c r="L402"/>
    </row>
    <row r="403" spans="1:12" s="2" customFormat="1" x14ac:dyDescent="0.3">
      <c r="A403" s="59"/>
      <c r="B403" s="59" t="s">
        <v>282</v>
      </c>
      <c r="C403" s="59"/>
      <c r="D403" s="59"/>
      <c r="E403" s="59"/>
      <c r="F403" s="97"/>
      <c r="G403" s="97"/>
      <c r="H403" s="97"/>
      <c r="I403" s="92"/>
      <c r="J403" s="98"/>
      <c r="K403"/>
      <c r="L403"/>
    </row>
    <row r="404" spans="1:12" s="2" customFormat="1" x14ac:dyDescent="0.3">
      <c r="A404" s="61" t="s">
        <v>283</v>
      </c>
      <c r="B404" s="61"/>
      <c r="C404" s="61"/>
      <c r="D404" s="61"/>
      <c r="E404" s="61"/>
      <c r="F404" s="82">
        <f>F407+F435+F423+F429</f>
        <v>880000</v>
      </c>
      <c r="G404" s="82">
        <f>G407+G435+G429+G423</f>
        <v>631156.75</v>
      </c>
      <c r="H404" s="82">
        <f>H407+H435+H429+H423</f>
        <v>1421000</v>
      </c>
      <c r="I404" s="82">
        <f>I407+I435+I429+I423</f>
        <v>758000</v>
      </c>
      <c r="J404" s="82">
        <f>J407+J435+J429+J423</f>
        <v>742000</v>
      </c>
      <c r="K404"/>
      <c r="L404"/>
    </row>
    <row r="405" spans="1:12" ht="16.5" customHeight="1" x14ac:dyDescent="0.3">
      <c r="A405" s="63" t="s">
        <v>284</v>
      </c>
      <c r="B405" s="63"/>
      <c r="C405" s="63"/>
      <c r="D405" s="63"/>
      <c r="E405" s="63"/>
      <c r="F405" s="93"/>
      <c r="G405" s="93"/>
      <c r="H405" s="93"/>
      <c r="I405" s="64"/>
      <c r="J405" s="64"/>
    </row>
    <row r="406" spans="1:12" ht="16.5" customHeight="1" x14ac:dyDescent="0.3">
      <c r="A406" s="68" t="s">
        <v>285</v>
      </c>
      <c r="B406" s="68"/>
      <c r="C406" s="68"/>
      <c r="D406" s="68"/>
      <c r="E406" s="68"/>
      <c r="F406" s="94"/>
      <c r="G406" s="94"/>
      <c r="H406" s="94"/>
      <c r="I406" s="88"/>
      <c r="J406" s="99"/>
      <c r="K406" s="1"/>
      <c r="L406" s="1"/>
    </row>
    <row r="407" spans="1:12" ht="16.5" customHeight="1" x14ac:dyDescent="0.3">
      <c r="A407" s="68"/>
      <c r="B407" s="68" t="s">
        <v>286</v>
      </c>
      <c r="C407" s="68"/>
      <c r="D407" s="68"/>
      <c r="E407" s="68"/>
      <c r="F407" s="76">
        <f t="shared" ref="F407:J407" si="61">F411</f>
        <v>516000</v>
      </c>
      <c r="G407" s="76">
        <f t="shared" si="61"/>
        <v>473290.82000000007</v>
      </c>
      <c r="H407" s="76">
        <f t="shared" si="61"/>
        <v>1141000</v>
      </c>
      <c r="I407" s="76">
        <f t="shared" si="61"/>
        <v>500000</v>
      </c>
      <c r="J407" s="76">
        <f t="shared" si="61"/>
        <v>520000</v>
      </c>
      <c r="K407" s="1"/>
      <c r="L407" s="1"/>
    </row>
    <row r="408" spans="1:12" ht="16.5" customHeight="1" x14ac:dyDescent="0.3">
      <c r="A408" s="144" t="s">
        <v>132</v>
      </c>
      <c r="B408" s="145"/>
      <c r="C408" s="145"/>
      <c r="D408" s="145"/>
      <c r="E408" s="145"/>
      <c r="F408" s="80"/>
      <c r="G408" s="80"/>
      <c r="H408" s="80"/>
      <c r="I408" s="80"/>
      <c r="J408" s="67"/>
      <c r="K408" s="1"/>
      <c r="L408" s="1"/>
    </row>
    <row r="409" spans="1:12" ht="16.5" customHeight="1" x14ac:dyDescent="0.3">
      <c r="A409" s="144" t="s">
        <v>176</v>
      </c>
      <c r="B409" s="145"/>
      <c r="C409" s="145"/>
      <c r="D409" s="145"/>
      <c r="E409" s="145"/>
      <c r="F409" s="80"/>
      <c r="G409" s="80"/>
      <c r="H409" s="80"/>
      <c r="I409" s="80"/>
      <c r="J409" s="67"/>
      <c r="K409" s="1"/>
      <c r="L409" s="1"/>
    </row>
    <row r="410" spans="1:12" ht="16.5" customHeight="1" x14ac:dyDescent="0.3">
      <c r="I410" s="10"/>
      <c r="J410" s="36"/>
      <c r="K410" s="1"/>
      <c r="L410" s="1"/>
    </row>
    <row r="411" spans="1:12" s="1" customFormat="1" ht="16.5" customHeight="1" x14ac:dyDescent="0.25">
      <c r="A411" s="3">
        <v>32</v>
      </c>
      <c r="B411" s="3" t="s">
        <v>140</v>
      </c>
      <c r="C411" s="3"/>
      <c r="D411" s="3"/>
      <c r="E411" s="3"/>
      <c r="F411" s="5">
        <f t="shared" ref="F411" si="62">F412+F417</f>
        <v>516000</v>
      </c>
      <c r="G411" s="5">
        <f>G412+G417</f>
        <v>473290.82000000007</v>
      </c>
      <c r="H411" s="5">
        <f>H412+H417</f>
        <v>1141000</v>
      </c>
      <c r="I411" s="5">
        <v>500000</v>
      </c>
      <c r="J411" s="5">
        <v>520000</v>
      </c>
    </row>
    <row r="412" spans="1:12" s="1" customFormat="1" ht="16.5" customHeight="1" x14ac:dyDescent="0.25">
      <c r="A412" s="3">
        <v>322</v>
      </c>
      <c r="B412" s="3" t="s">
        <v>190</v>
      </c>
      <c r="C412" s="3"/>
      <c r="D412" s="3"/>
      <c r="E412" s="3"/>
      <c r="F412" s="5">
        <f>SUM(F413:F416)</f>
        <v>93000</v>
      </c>
      <c r="G412" s="5">
        <f t="shared" ref="G412" si="63">SUM(G413:G416)</f>
        <v>71988.08</v>
      </c>
      <c r="H412" s="5">
        <f>SUM(H413:H416)</f>
        <v>99000</v>
      </c>
      <c r="I412" s="5"/>
      <c r="J412" s="5"/>
      <c r="K412" s="131"/>
      <c r="L412" s="131"/>
    </row>
    <row r="413" spans="1:12" s="1" customFormat="1" ht="16.5" customHeight="1" x14ac:dyDescent="0.25">
      <c r="A413" s="1">
        <v>3221</v>
      </c>
      <c r="B413" s="1" t="s">
        <v>287</v>
      </c>
      <c r="F413" s="36">
        <v>6000</v>
      </c>
      <c r="G413" s="36"/>
      <c r="H413" s="36">
        <v>6000</v>
      </c>
      <c r="I413" s="36"/>
      <c r="J413" s="100"/>
      <c r="K413" s="101"/>
      <c r="L413" s="101"/>
    </row>
    <row r="414" spans="1:12" s="1" customFormat="1" x14ac:dyDescent="0.3">
      <c r="A414" s="1">
        <v>3223</v>
      </c>
      <c r="B414" s="1" t="s">
        <v>288</v>
      </c>
      <c r="F414" s="36">
        <v>40000</v>
      </c>
      <c r="G414" s="36">
        <f>119.99+28390.46</f>
        <v>28510.45</v>
      </c>
      <c r="H414" s="36">
        <v>40000</v>
      </c>
      <c r="I414" s="36"/>
      <c r="J414" s="10"/>
      <c r="K414"/>
      <c r="L414"/>
    </row>
    <row r="415" spans="1:12" s="1" customFormat="1" x14ac:dyDescent="0.3">
      <c r="A415" s="1">
        <v>3224</v>
      </c>
      <c r="B415" s="1" t="s">
        <v>289</v>
      </c>
      <c r="F415" s="36">
        <v>35000</v>
      </c>
      <c r="G415" s="36">
        <f>9151.79+22981.69</f>
        <v>32133.48</v>
      </c>
      <c r="H415" s="36">
        <v>40000</v>
      </c>
      <c r="I415" s="36"/>
      <c r="J415" s="10"/>
      <c r="K415"/>
      <c r="L415"/>
    </row>
    <row r="416" spans="1:12" s="1" customFormat="1" x14ac:dyDescent="0.3">
      <c r="A416" s="1">
        <v>3224</v>
      </c>
      <c r="B416" s="1" t="s">
        <v>290</v>
      </c>
      <c r="F416" s="36">
        <v>12000</v>
      </c>
      <c r="G416" s="36">
        <v>11344.15</v>
      </c>
      <c r="H416" s="36">
        <v>13000</v>
      </c>
      <c r="I416" s="36"/>
      <c r="J416" s="10"/>
      <c r="K416"/>
      <c r="L416"/>
    </row>
    <row r="417" spans="1:12" s="131" customFormat="1" ht="15" x14ac:dyDescent="0.25">
      <c r="A417" s="3">
        <v>323</v>
      </c>
      <c r="B417" s="3" t="s">
        <v>144</v>
      </c>
      <c r="C417" s="3"/>
      <c r="D417" s="3"/>
      <c r="E417" s="3"/>
      <c r="F417" s="5">
        <f>SUM(F418:F421)</f>
        <v>423000</v>
      </c>
      <c r="G417" s="5">
        <f>SUM(G418:G421)</f>
        <v>401302.74000000005</v>
      </c>
      <c r="H417" s="5">
        <f>SUM(H418:H421)</f>
        <v>1042000</v>
      </c>
      <c r="I417" s="5">
        <f t="shared" ref="I417:J417" si="64">SUM(I418:I421)</f>
        <v>0</v>
      </c>
      <c r="J417" s="5">
        <f t="shared" si="64"/>
        <v>0</v>
      </c>
    </row>
    <row r="418" spans="1:12" ht="15.6" x14ac:dyDescent="0.3">
      <c r="A418" s="1">
        <v>3232</v>
      </c>
      <c r="B418" s="1" t="s">
        <v>291</v>
      </c>
      <c r="F418" s="10">
        <v>8000</v>
      </c>
      <c r="G418" s="36">
        <f>1504.9+1662.25</f>
        <v>3167.15</v>
      </c>
      <c r="H418" s="102">
        <v>5000</v>
      </c>
      <c r="I418" s="10"/>
      <c r="J418" s="36"/>
      <c r="K418" s="129"/>
      <c r="L418" s="129"/>
    </row>
    <row r="419" spans="1:12" ht="15.6" x14ac:dyDescent="0.3">
      <c r="A419" s="1">
        <v>3232</v>
      </c>
      <c r="B419" s="141" t="s">
        <v>292</v>
      </c>
      <c r="C419" s="141"/>
      <c r="D419" s="141"/>
      <c r="E419" s="141"/>
      <c r="G419" s="36"/>
      <c r="H419" s="102">
        <v>20000</v>
      </c>
      <c r="I419" s="10"/>
      <c r="J419" s="36"/>
      <c r="K419" s="129"/>
      <c r="L419" s="129"/>
    </row>
    <row r="420" spans="1:12" ht="15.6" x14ac:dyDescent="0.3">
      <c r="A420" s="1">
        <v>3232</v>
      </c>
      <c r="B420" s="1" t="s">
        <v>293</v>
      </c>
      <c r="F420" s="10">
        <v>15000</v>
      </c>
      <c r="G420" s="36">
        <v>13987.5</v>
      </c>
      <c r="H420" s="102">
        <v>17000</v>
      </c>
      <c r="I420" s="10"/>
      <c r="J420" s="36"/>
      <c r="K420" s="131"/>
      <c r="L420" s="131"/>
    </row>
    <row r="421" spans="1:12" s="27" customFormat="1" ht="15.6" x14ac:dyDescent="0.3">
      <c r="A421" s="28">
        <v>3232</v>
      </c>
      <c r="B421" s="28" t="s">
        <v>294</v>
      </c>
      <c r="F421" s="40">
        <v>400000</v>
      </c>
      <c r="G421" s="34">
        <f>2987.5+21646.5+359514.09</f>
        <v>384148.09</v>
      </c>
      <c r="H421" s="103">
        <v>1000000</v>
      </c>
      <c r="I421" s="40"/>
      <c r="J421" s="34"/>
      <c r="K421" s="104"/>
      <c r="L421" s="104"/>
    </row>
    <row r="422" spans="1:12" s="131" customFormat="1" ht="15.6" x14ac:dyDescent="0.3">
      <c r="A422" s="1"/>
      <c r="B422" s="1"/>
      <c r="C422"/>
      <c r="D422"/>
      <c r="E422"/>
      <c r="F422" s="36"/>
      <c r="G422" s="36"/>
      <c r="H422" s="102"/>
      <c r="I422" s="18"/>
      <c r="J422" s="18"/>
    </row>
    <row r="423" spans="1:12" s="129" customFormat="1" ht="15.6" x14ac:dyDescent="0.3">
      <c r="A423" s="143" t="s">
        <v>295</v>
      </c>
      <c r="B423" s="143"/>
      <c r="C423" s="143"/>
      <c r="D423" s="143"/>
      <c r="E423" s="143"/>
      <c r="F423" s="78">
        <f>F425</f>
        <v>44000</v>
      </c>
      <c r="G423" s="78">
        <f t="shared" ref="G423:J423" si="65">G425</f>
        <v>0</v>
      </c>
      <c r="H423" s="78">
        <f t="shared" si="65"/>
        <v>20000</v>
      </c>
      <c r="I423" s="78">
        <f t="shared" si="65"/>
        <v>3000</v>
      </c>
      <c r="J423" s="78">
        <f t="shared" si="65"/>
        <v>5000</v>
      </c>
      <c r="K423" s="131"/>
      <c r="L423" s="131"/>
    </row>
    <row r="424" spans="1:12" s="131" customFormat="1" ht="15.6" x14ac:dyDescent="0.3">
      <c r="A424" s="1"/>
      <c r="B424" s="1"/>
      <c r="C424"/>
      <c r="D424"/>
      <c r="E424"/>
      <c r="F424" s="36"/>
      <c r="G424" s="36"/>
      <c r="H424" s="102"/>
      <c r="I424" s="18"/>
      <c r="J424" s="9"/>
      <c r="K424" s="129"/>
      <c r="L424" s="129"/>
    </row>
    <row r="425" spans="1:12" s="129" customFormat="1" ht="15.6" x14ac:dyDescent="0.3">
      <c r="A425" s="3">
        <v>32</v>
      </c>
      <c r="B425" s="140" t="s">
        <v>140</v>
      </c>
      <c r="C425" s="140"/>
      <c r="D425" s="140"/>
      <c r="E425" s="140"/>
      <c r="F425" s="5">
        <f>F426+F427</f>
        <v>44000</v>
      </c>
      <c r="G425" s="5">
        <f>G426+G427</f>
        <v>0</v>
      </c>
      <c r="H425" s="105">
        <f>H426+H427+H428</f>
        <v>20000</v>
      </c>
      <c r="I425" s="105">
        <v>3000</v>
      </c>
      <c r="J425" s="105">
        <v>5000</v>
      </c>
      <c r="K425" s="131"/>
      <c r="L425" s="131"/>
    </row>
    <row r="426" spans="1:12" s="131" customFormat="1" ht="15" x14ac:dyDescent="0.25">
      <c r="A426" s="1">
        <v>323</v>
      </c>
      <c r="B426" s="141" t="s">
        <v>296</v>
      </c>
      <c r="C426" s="141"/>
      <c r="D426" s="141"/>
      <c r="E426" s="141"/>
      <c r="F426" s="36">
        <v>20000</v>
      </c>
      <c r="G426" s="36"/>
      <c r="H426" s="102">
        <f>G426</f>
        <v>0</v>
      </c>
      <c r="I426" s="18"/>
      <c r="J426" s="18"/>
    </row>
    <row r="427" spans="1:12" s="131" customFormat="1" ht="15" x14ac:dyDescent="0.25">
      <c r="A427" s="1">
        <v>323</v>
      </c>
      <c r="B427" s="141" t="s">
        <v>297</v>
      </c>
      <c r="C427" s="141"/>
      <c r="D427" s="141"/>
      <c r="E427" s="141"/>
      <c r="F427" s="36">
        <v>24000</v>
      </c>
      <c r="G427" s="36"/>
      <c r="H427" s="103"/>
      <c r="I427" s="36"/>
      <c r="J427" s="36"/>
    </row>
    <row r="428" spans="1:12" s="131" customFormat="1" ht="15.6" x14ac:dyDescent="0.3">
      <c r="A428" s="146" t="s">
        <v>298</v>
      </c>
      <c r="B428" s="146"/>
      <c r="C428" s="146"/>
      <c r="D428" s="146"/>
      <c r="E428" s="146"/>
      <c r="F428" s="36"/>
      <c r="G428" s="36"/>
      <c r="H428" s="102">
        <v>20000</v>
      </c>
      <c r="I428" s="18"/>
      <c r="J428" s="9"/>
      <c r="K428" s="129"/>
      <c r="L428" s="129"/>
    </row>
    <row r="429" spans="1:12" s="129" customFormat="1" ht="15.6" x14ac:dyDescent="0.3">
      <c r="A429" s="157" t="s">
        <v>299</v>
      </c>
      <c r="B429" s="157"/>
      <c r="C429" s="157"/>
      <c r="D429" s="157"/>
      <c r="E429" s="157"/>
      <c r="F429" s="78">
        <f>F432</f>
        <v>20000</v>
      </c>
      <c r="G429" s="78">
        <f>G433</f>
        <v>0</v>
      </c>
      <c r="H429" s="106">
        <f>H432</f>
        <v>10000</v>
      </c>
      <c r="I429" s="106">
        <f t="shared" ref="I429:J429" si="66">I432</f>
        <v>5000</v>
      </c>
      <c r="J429" s="106">
        <f t="shared" si="66"/>
        <v>7000</v>
      </c>
      <c r="K429" s="131"/>
      <c r="L429" s="131"/>
    </row>
    <row r="430" spans="1:12" s="131" customFormat="1" ht="15" x14ac:dyDescent="0.25">
      <c r="A430" s="144" t="s">
        <v>132</v>
      </c>
      <c r="B430" s="144"/>
      <c r="C430" s="144"/>
      <c r="D430" s="144"/>
      <c r="E430" s="144"/>
      <c r="F430" s="67"/>
      <c r="G430" s="67"/>
      <c r="H430" s="71"/>
      <c r="I430" s="107"/>
      <c r="J430" s="107"/>
    </row>
    <row r="431" spans="1:12" s="131" customFormat="1" ht="15" x14ac:dyDescent="0.25">
      <c r="A431" s="144" t="s">
        <v>176</v>
      </c>
      <c r="B431" s="144"/>
      <c r="C431" s="144"/>
      <c r="D431" s="144"/>
      <c r="E431" s="144"/>
      <c r="F431" s="67"/>
      <c r="G431" s="67"/>
      <c r="H431" s="71"/>
      <c r="I431" s="107"/>
      <c r="J431" s="84"/>
      <c r="K431" s="2"/>
      <c r="L431" s="2"/>
    </row>
    <row r="432" spans="1:12" s="129" customFormat="1" ht="15.6" x14ac:dyDescent="0.3">
      <c r="A432" s="89">
        <v>32</v>
      </c>
      <c r="B432" s="150" t="s">
        <v>140</v>
      </c>
      <c r="C432" s="150"/>
      <c r="D432" s="150"/>
      <c r="E432" s="150"/>
      <c r="F432" s="5">
        <f>F433</f>
        <v>20000</v>
      </c>
      <c r="G432" s="5">
        <f>G433</f>
        <v>0</v>
      </c>
      <c r="H432" s="105">
        <f>H433</f>
        <v>10000</v>
      </c>
      <c r="I432" s="105">
        <v>5000</v>
      </c>
      <c r="J432" s="105">
        <v>7000</v>
      </c>
      <c r="K432" s="109"/>
      <c r="L432" s="109"/>
    </row>
    <row r="433" spans="1:12" s="131" customFormat="1" ht="15" x14ac:dyDescent="0.25">
      <c r="A433" s="1">
        <v>3222</v>
      </c>
      <c r="B433" s="141" t="s">
        <v>300</v>
      </c>
      <c r="C433" s="141"/>
      <c r="D433" s="141"/>
      <c r="E433" s="141"/>
      <c r="F433" s="36">
        <v>20000</v>
      </c>
      <c r="G433" s="110"/>
      <c r="H433" s="102">
        <v>10000</v>
      </c>
      <c r="I433" s="36"/>
      <c r="J433" s="34"/>
      <c r="K433" s="109"/>
      <c r="L433" s="109"/>
    </row>
    <row r="434" spans="1:12" s="131" customFormat="1" ht="15.6" x14ac:dyDescent="0.3">
      <c r="A434" s="1"/>
      <c r="B434" s="1"/>
      <c r="C434"/>
      <c r="D434"/>
      <c r="E434"/>
      <c r="F434" s="36"/>
      <c r="G434" s="36"/>
      <c r="H434" s="102"/>
      <c r="I434" s="18"/>
      <c r="J434" s="18"/>
    </row>
    <row r="435" spans="1:12" s="2" customFormat="1" ht="15" x14ac:dyDescent="0.25">
      <c r="A435" s="147" t="s">
        <v>301</v>
      </c>
      <c r="B435" s="147"/>
      <c r="C435" s="147"/>
      <c r="D435" s="147"/>
      <c r="E435" s="147"/>
      <c r="F435" s="76">
        <f>F439</f>
        <v>300000</v>
      </c>
      <c r="G435" s="76">
        <f t="shared" ref="G435:J435" si="67">G439</f>
        <v>157865.93</v>
      </c>
      <c r="H435" s="76">
        <f t="shared" si="67"/>
        <v>250000</v>
      </c>
      <c r="I435" s="76">
        <f t="shared" si="67"/>
        <v>250000</v>
      </c>
      <c r="J435" s="76">
        <f t="shared" si="67"/>
        <v>210000</v>
      </c>
      <c r="K435" s="131"/>
      <c r="L435" s="131"/>
    </row>
    <row r="436" spans="1:12" s="109" customFormat="1" ht="15" x14ac:dyDescent="0.25">
      <c r="A436" s="142" t="s">
        <v>132</v>
      </c>
      <c r="B436" s="142"/>
      <c r="C436" s="142"/>
      <c r="D436" s="142"/>
      <c r="E436" s="142"/>
      <c r="F436" s="79"/>
      <c r="G436" s="79"/>
      <c r="H436" s="79"/>
      <c r="I436" s="107"/>
      <c r="J436" s="107"/>
      <c r="K436" s="131"/>
      <c r="L436" s="131"/>
    </row>
    <row r="437" spans="1:12" s="109" customFormat="1" ht="15" x14ac:dyDescent="0.25">
      <c r="A437" s="142" t="s">
        <v>163</v>
      </c>
      <c r="B437" s="142"/>
      <c r="C437" s="142"/>
      <c r="D437" s="142"/>
      <c r="E437" s="142"/>
      <c r="F437" s="79"/>
      <c r="G437" s="79"/>
      <c r="H437" s="79"/>
      <c r="I437" s="107"/>
      <c r="J437" s="107"/>
      <c r="K437" s="131"/>
      <c r="L437" s="131"/>
    </row>
    <row r="438" spans="1:12" s="109" customFormat="1" ht="15" x14ac:dyDescent="0.25">
      <c r="A438" s="25"/>
      <c r="B438" s="25"/>
      <c r="C438" s="25"/>
      <c r="D438" s="25"/>
      <c r="E438" s="25"/>
      <c r="F438" s="74"/>
      <c r="G438" s="74"/>
      <c r="H438" s="74"/>
      <c r="I438" s="108"/>
      <c r="J438" s="18"/>
      <c r="K438" s="131"/>
      <c r="L438" s="131"/>
    </row>
    <row r="439" spans="1:12" s="131" customFormat="1" ht="15" x14ac:dyDescent="0.25">
      <c r="A439" s="3">
        <v>32</v>
      </c>
      <c r="B439" s="3" t="s">
        <v>140</v>
      </c>
      <c r="C439" s="3"/>
      <c r="D439" s="3"/>
      <c r="E439" s="3"/>
      <c r="F439" s="5">
        <f t="shared" ref="F439:H439" si="68">F440+F442</f>
        <v>300000</v>
      </c>
      <c r="G439" s="5">
        <f t="shared" si="68"/>
        <v>157865.93</v>
      </c>
      <c r="H439" s="5">
        <f t="shared" si="68"/>
        <v>250000</v>
      </c>
      <c r="I439" s="5">
        <v>250000</v>
      </c>
      <c r="J439" s="5">
        <v>210000</v>
      </c>
    </row>
    <row r="440" spans="1:12" s="131" customFormat="1" ht="15" x14ac:dyDescent="0.25">
      <c r="A440" s="3">
        <v>322</v>
      </c>
      <c r="B440" s="3" t="s">
        <v>190</v>
      </c>
      <c r="C440" s="3"/>
      <c r="D440" s="3"/>
      <c r="E440" s="3"/>
      <c r="F440" s="5">
        <f t="shared" ref="F440:H440" si="69">F441</f>
        <v>70000</v>
      </c>
      <c r="G440" s="5">
        <f t="shared" si="69"/>
        <v>41440.93</v>
      </c>
      <c r="H440" s="5">
        <f t="shared" si="69"/>
        <v>70000</v>
      </c>
      <c r="I440" s="5"/>
      <c r="J440" s="5"/>
      <c r="K440" s="3"/>
      <c r="L440" s="3"/>
    </row>
    <row r="441" spans="1:12" s="131" customFormat="1" ht="15.6" x14ac:dyDescent="0.3">
      <c r="A441">
        <v>3223</v>
      </c>
      <c r="B441" t="s">
        <v>302</v>
      </c>
      <c r="C441"/>
      <c r="D441"/>
      <c r="E441"/>
      <c r="F441" s="36">
        <v>70000</v>
      </c>
      <c r="G441" s="36">
        <v>41440.93</v>
      </c>
      <c r="H441" s="36">
        <v>70000</v>
      </c>
      <c r="I441" s="36"/>
      <c r="J441" s="36"/>
      <c r="K441" s="3"/>
      <c r="L441" s="3"/>
    </row>
    <row r="442" spans="1:12" s="131" customFormat="1" ht="15" x14ac:dyDescent="0.25">
      <c r="A442" s="3">
        <v>323</v>
      </c>
      <c r="B442" s="3" t="s">
        <v>144</v>
      </c>
      <c r="C442" s="3"/>
      <c r="D442" s="3"/>
      <c r="E442" s="3"/>
      <c r="F442" s="5">
        <f t="shared" ref="F442:J442" si="70">F443</f>
        <v>230000</v>
      </c>
      <c r="G442" s="5">
        <f t="shared" si="70"/>
        <v>116425</v>
      </c>
      <c r="H442" s="5">
        <f t="shared" si="70"/>
        <v>180000</v>
      </c>
      <c r="I442" s="5">
        <f t="shared" si="70"/>
        <v>0</v>
      </c>
      <c r="J442" s="5">
        <f t="shared" si="70"/>
        <v>0</v>
      </c>
      <c r="K442" s="3"/>
      <c r="L442" s="3"/>
    </row>
    <row r="443" spans="1:12" s="131" customFormat="1" ht="15.6" x14ac:dyDescent="0.3">
      <c r="A443">
        <v>3232</v>
      </c>
      <c r="B443" s="1" t="s">
        <v>303</v>
      </c>
      <c r="C443"/>
      <c r="D443"/>
      <c r="E443"/>
      <c r="F443" s="36">
        <v>230000</v>
      </c>
      <c r="G443" s="36">
        <v>116425</v>
      </c>
      <c r="H443" s="36">
        <v>180000</v>
      </c>
      <c r="I443" s="18"/>
      <c r="J443" s="5"/>
      <c r="K443" s="3"/>
      <c r="L443" s="3"/>
    </row>
    <row r="444" spans="1:12" s="131" customFormat="1" ht="15.6" x14ac:dyDescent="0.3">
      <c r="A444"/>
      <c r="B444" s="1"/>
      <c r="C444"/>
      <c r="D444"/>
      <c r="E444"/>
      <c r="F444" s="18"/>
      <c r="G444" s="18"/>
      <c r="H444" s="18"/>
      <c r="I444" s="18"/>
      <c r="J444" s="5"/>
      <c r="K444" s="3"/>
      <c r="L444" s="3"/>
    </row>
    <row r="445" spans="1:12" s="3" customFormat="1" ht="13.8" x14ac:dyDescent="0.25">
      <c r="A445" s="61" t="s">
        <v>304</v>
      </c>
      <c r="B445" s="61"/>
      <c r="C445" s="61"/>
      <c r="D445" s="61"/>
      <c r="E445" s="61"/>
      <c r="F445" s="82">
        <f>F447+F489+F500</f>
        <v>2540000</v>
      </c>
      <c r="G445" s="82" t="e">
        <f>G447+G489+G500</f>
        <v>#REF!</v>
      </c>
      <c r="H445" s="82">
        <f>H447+H489+H500+H458+H470+H476+H482+H464</f>
        <v>3175000</v>
      </c>
      <c r="I445" s="82">
        <f>I447+I489+I500</f>
        <v>0</v>
      </c>
      <c r="J445" s="82">
        <f>J447+J489+J500</f>
        <v>0</v>
      </c>
    </row>
    <row r="446" spans="1:12" s="3" customFormat="1" ht="13.8" x14ac:dyDescent="0.25">
      <c r="A446" s="63" t="s">
        <v>284</v>
      </c>
      <c r="B446" s="63"/>
      <c r="C446" s="63"/>
      <c r="D446" s="63"/>
      <c r="E446" s="63"/>
      <c r="F446" s="93"/>
      <c r="G446" s="93"/>
      <c r="H446" s="93"/>
      <c r="I446" s="83"/>
      <c r="J446" s="83"/>
    </row>
    <row r="447" spans="1:12" s="3" customFormat="1" ht="13.8" x14ac:dyDescent="0.25">
      <c r="A447" s="68" t="s">
        <v>305</v>
      </c>
      <c r="B447" s="68"/>
      <c r="C447" s="68"/>
      <c r="D447" s="68"/>
      <c r="E447" s="68"/>
      <c r="F447" s="76">
        <f t="shared" ref="F447:J447" si="71">F453</f>
        <v>1032000</v>
      </c>
      <c r="G447" s="76">
        <f t="shared" si="71"/>
        <v>967786.4</v>
      </c>
      <c r="H447" s="76">
        <f t="shared" si="71"/>
        <v>200000</v>
      </c>
      <c r="I447" s="76">
        <f t="shared" si="71"/>
        <v>0</v>
      </c>
      <c r="J447" s="76">
        <f t="shared" si="71"/>
        <v>0</v>
      </c>
    </row>
    <row r="448" spans="1:12" s="3" customFormat="1" x14ac:dyDescent="0.3">
      <c r="A448" s="68"/>
      <c r="B448" s="68" t="s">
        <v>306</v>
      </c>
      <c r="C448" s="68"/>
      <c r="D448" s="68"/>
      <c r="E448" s="68"/>
      <c r="F448" s="94"/>
      <c r="G448" s="94"/>
      <c r="H448" s="94"/>
      <c r="I448" s="78"/>
      <c r="J448" s="88"/>
      <c r="K448"/>
      <c r="L448"/>
    </row>
    <row r="449" spans="1:12" s="3" customFormat="1" ht="13.2" x14ac:dyDescent="0.25">
      <c r="A449" s="144" t="s">
        <v>132</v>
      </c>
      <c r="B449" s="144"/>
      <c r="C449" s="144"/>
      <c r="D449" s="144"/>
      <c r="E449" s="144"/>
      <c r="F449" s="67"/>
      <c r="G449" s="67"/>
      <c r="H449" s="67"/>
      <c r="I449" s="85"/>
      <c r="J449" s="85"/>
    </row>
    <row r="450" spans="1:12" s="3" customFormat="1" ht="13.2" x14ac:dyDescent="0.25">
      <c r="A450" s="144" t="s">
        <v>263</v>
      </c>
      <c r="B450" s="144"/>
      <c r="C450" s="144"/>
      <c r="D450" s="144"/>
      <c r="E450" s="144"/>
      <c r="F450" s="67"/>
      <c r="G450" s="67"/>
      <c r="H450" s="67"/>
      <c r="I450" s="85"/>
      <c r="J450" s="67"/>
      <c r="K450" s="1"/>
      <c r="L450" s="1"/>
    </row>
    <row r="451" spans="1:12" s="3" customFormat="1" ht="13.2" x14ac:dyDescent="0.25">
      <c r="A451" s="144" t="s">
        <v>307</v>
      </c>
      <c r="B451" s="144"/>
      <c r="C451" s="144"/>
      <c r="D451" s="144"/>
      <c r="E451" s="144"/>
      <c r="F451" s="67"/>
      <c r="G451" s="67"/>
      <c r="H451" s="67"/>
      <c r="I451" s="85"/>
      <c r="J451" s="67"/>
      <c r="K451" s="1"/>
      <c r="L451" s="1"/>
    </row>
    <row r="452" spans="1:12" s="3" customFormat="1" ht="13.2" x14ac:dyDescent="0.25">
      <c r="F452" s="5"/>
      <c r="G452" s="5"/>
      <c r="H452" s="5"/>
      <c r="I452" s="5"/>
      <c r="J452" s="36"/>
      <c r="K452" s="1"/>
      <c r="L452" s="1"/>
    </row>
    <row r="453" spans="1:12" x14ac:dyDescent="0.3">
      <c r="A453" s="3">
        <v>42</v>
      </c>
      <c r="B453" s="3" t="s">
        <v>308</v>
      </c>
      <c r="C453" s="3"/>
      <c r="D453" s="3"/>
      <c r="E453" s="3"/>
      <c r="F453" s="5">
        <f t="shared" ref="F453:G453" si="72">F454</f>
        <v>1032000</v>
      </c>
      <c r="G453" s="5">
        <f t="shared" si="72"/>
        <v>967786.4</v>
      </c>
      <c r="H453" s="5">
        <f>H454</f>
        <v>200000</v>
      </c>
      <c r="I453" s="5"/>
      <c r="J453" s="5"/>
      <c r="K453" s="2"/>
      <c r="L453" s="2"/>
    </row>
    <row r="454" spans="1:12" s="3" customFormat="1" ht="13.8" x14ac:dyDescent="0.25">
      <c r="A454" s="3">
        <v>421</v>
      </c>
      <c r="B454" s="3" t="s">
        <v>309</v>
      </c>
      <c r="F454" s="5">
        <f>SUM(F455:F457)</f>
        <v>1032000</v>
      </c>
      <c r="G454" s="5">
        <f>SUM(G455:G457)</f>
        <v>967786.4</v>
      </c>
      <c r="H454" s="5">
        <f>SUM(H455:H457)</f>
        <v>200000</v>
      </c>
      <c r="I454" s="5"/>
      <c r="J454" s="5"/>
      <c r="K454" s="2"/>
      <c r="L454" s="2"/>
    </row>
    <row r="455" spans="1:12" s="1" customFormat="1" ht="13.2" x14ac:dyDescent="0.25">
      <c r="A455" s="1">
        <v>4213</v>
      </c>
      <c r="B455" s="1" t="s">
        <v>310</v>
      </c>
      <c r="E455" s="28"/>
      <c r="F455" s="36">
        <v>1032000</v>
      </c>
      <c r="G455" s="36">
        <v>967786.4</v>
      </c>
      <c r="H455" s="36">
        <v>200000</v>
      </c>
      <c r="I455" s="36"/>
      <c r="J455" s="36"/>
    </row>
    <row r="456" spans="1:12" s="1" customFormat="1" ht="13.2" x14ac:dyDescent="0.25">
      <c r="F456" s="36"/>
      <c r="G456" s="36"/>
      <c r="H456" s="36"/>
      <c r="I456" s="36"/>
      <c r="J456" s="36"/>
    </row>
    <row r="457" spans="1:12" s="1" customFormat="1" ht="11.25" customHeight="1" x14ac:dyDescent="0.25">
      <c r="F457" s="36"/>
      <c r="G457" s="36"/>
      <c r="H457" s="36"/>
      <c r="I457" s="36"/>
      <c r="J457" s="36"/>
    </row>
    <row r="458" spans="1:12" s="3" customFormat="1" ht="13.5" customHeight="1" x14ac:dyDescent="0.25">
      <c r="A458" s="143" t="s">
        <v>311</v>
      </c>
      <c r="B458" s="143"/>
      <c r="C458" s="143"/>
      <c r="D458" s="143"/>
      <c r="E458" s="143"/>
      <c r="F458" s="78"/>
      <c r="G458" s="78"/>
      <c r="H458" s="78">
        <f>H460</f>
        <v>350000</v>
      </c>
      <c r="I458" s="78"/>
      <c r="J458" s="78"/>
    </row>
    <row r="459" spans="1:12" s="1" customFormat="1" ht="13.5" customHeight="1" x14ac:dyDescent="0.25">
      <c r="F459" s="36"/>
      <c r="G459" s="36"/>
      <c r="H459" s="36"/>
      <c r="I459" s="36"/>
      <c r="J459" s="36"/>
    </row>
    <row r="460" spans="1:12" s="1" customFormat="1" ht="12.75" customHeight="1" x14ac:dyDescent="0.25">
      <c r="A460" s="3">
        <v>42</v>
      </c>
      <c r="B460" s="154" t="s">
        <v>308</v>
      </c>
      <c r="C460" s="154"/>
      <c r="D460" s="154"/>
      <c r="E460" s="154"/>
      <c r="F460" s="36"/>
      <c r="G460" s="36"/>
      <c r="H460" s="5">
        <v>350000</v>
      </c>
      <c r="I460" s="36"/>
      <c r="J460" s="36"/>
    </row>
    <row r="461" spans="1:12" s="1" customFormat="1" ht="12.75" customHeight="1" x14ac:dyDescent="0.25">
      <c r="A461" s="3">
        <v>421</v>
      </c>
      <c r="B461" s="3" t="s">
        <v>309</v>
      </c>
      <c r="C461" s="3"/>
      <c r="D461" s="3"/>
      <c r="E461" s="3"/>
      <c r="F461" s="36"/>
      <c r="G461" s="36"/>
      <c r="H461" s="5">
        <f>H462</f>
        <v>350000</v>
      </c>
      <c r="I461" s="36"/>
      <c r="J461" s="36"/>
    </row>
    <row r="462" spans="1:12" s="1" customFormat="1" ht="12.75" customHeight="1" x14ac:dyDescent="0.25">
      <c r="A462" s="1">
        <v>4213</v>
      </c>
      <c r="B462" s="141" t="s">
        <v>312</v>
      </c>
      <c r="C462" s="141"/>
      <c r="D462" s="141"/>
      <c r="E462" s="141"/>
      <c r="F462" s="36"/>
      <c r="G462" s="36"/>
      <c r="H462" s="36">
        <v>350000</v>
      </c>
      <c r="I462" s="36"/>
      <c r="J462" s="36"/>
    </row>
    <row r="463" spans="1:12" s="1" customFormat="1" ht="12.75" customHeight="1" x14ac:dyDescent="0.25">
      <c r="A463" s="3"/>
      <c r="B463" s="3"/>
      <c r="C463" s="3"/>
      <c r="D463" s="3"/>
      <c r="E463" s="3"/>
      <c r="F463" s="36"/>
      <c r="G463" s="36"/>
      <c r="H463" s="36"/>
      <c r="I463" s="36"/>
      <c r="J463" s="36"/>
    </row>
    <row r="464" spans="1:12" s="3" customFormat="1" ht="12.75" customHeight="1" x14ac:dyDescent="0.25">
      <c r="A464" s="156" t="s">
        <v>531</v>
      </c>
      <c r="B464" s="156"/>
      <c r="C464" s="156"/>
      <c r="D464" s="156"/>
      <c r="E464" s="156"/>
      <c r="F464" s="78"/>
      <c r="G464" s="78"/>
      <c r="H464" s="78">
        <f>H466</f>
        <v>75000</v>
      </c>
      <c r="I464" s="78"/>
      <c r="J464" s="78"/>
    </row>
    <row r="465" spans="1:10" s="28" customFormat="1" ht="12.75" customHeight="1" x14ac:dyDescent="0.25">
      <c r="F465" s="34"/>
      <c r="G465" s="34"/>
      <c r="H465" s="34"/>
      <c r="I465" s="34"/>
      <c r="J465" s="34"/>
    </row>
    <row r="466" spans="1:10" s="1" customFormat="1" ht="12.75" customHeight="1" x14ac:dyDescent="0.25">
      <c r="A466" s="3">
        <v>42</v>
      </c>
      <c r="B466" s="154" t="s">
        <v>308</v>
      </c>
      <c r="C466" s="154"/>
      <c r="D466" s="154"/>
      <c r="E466" s="154"/>
      <c r="F466" s="36"/>
      <c r="G466" s="36"/>
      <c r="H466" s="5">
        <f>H467</f>
        <v>75000</v>
      </c>
      <c r="I466" s="36"/>
      <c r="J466" s="36"/>
    </row>
    <row r="467" spans="1:10" s="1" customFormat="1" ht="12.75" customHeight="1" x14ac:dyDescent="0.25">
      <c r="A467" s="3">
        <v>421</v>
      </c>
      <c r="B467" s="3" t="s">
        <v>309</v>
      </c>
      <c r="C467" s="3"/>
      <c r="D467" s="3"/>
      <c r="E467" s="3"/>
      <c r="F467" s="36"/>
      <c r="G467" s="36"/>
      <c r="H467" s="5">
        <f>H468</f>
        <v>75000</v>
      </c>
      <c r="I467" s="36"/>
      <c r="J467" s="36"/>
    </row>
    <row r="468" spans="1:10" s="28" customFormat="1" ht="12.75" customHeight="1" x14ac:dyDescent="0.25">
      <c r="A468" s="28">
        <v>4214</v>
      </c>
      <c r="B468" s="153" t="s">
        <v>313</v>
      </c>
      <c r="C468" s="153"/>
      <c r="D468" s="153"/>
      <c r="E468" s="153"/>
      <c r="F468" s="34"/>
      <c r="G468" s="34"/>
      <c r="H468" s="34">
        <v>75000</v>
      </c>
      <c r="I468" s="34"/>
      <c r="J468" s="34"/>
    </row>
    <row r="469" spans="1:10" s="1" customFormat="1" ht="13.5" customHeight="1" x14ac:dyDescent="0.25">
      <c r="F469" s="36"/>
      <c r="G469" s="36"/>
      <c r="H469" s="36"/>
      <c r="I469" s="36"/>
      <c r="J469" s="36"/>
    </row>
    <row r="470" spans="1:10" s="3" customFormat="1" ht="27" customHeight="1" x14ac:dyDescent="0.25">
      <c r="A470" s="155" t="s">
        <v>314</v>
      </c>
      <c r="B470" s="155"/>
      <c r="C470" s="155"/>
      <c r="D470" s="155"/>
      <c r="E470" s="155"/>
      <c r="F470" s="78"/>
      <c r="G470" s="78"/>
      <c r="H470" s="78">
        <f>H472</f>
        <v>150000</v>
      </c>
      <c r="I470" s="78"/>
      <c r="J470" s="78"/>
    </row>
    <row r="471" spans="1:10" s="1" customFormat="1" ht="13.5" customHeight="1" x14ac:dyDescent="0.25">
      <c r="E471" s="28"/>
      <c r="F471" s="36"/>
      <c r="G471" s="36"/>
      <c r="H471" s="36"/>
      <c r="I471" s="36"/>
      <c r="J471" s="36"/>
    </row>
    <row r="472" spans="1:10" s="1" customFormat="1" ht="12.75" customHeight="1" x14ac:dyDescent="0.25">
      <c r="A472" s="3">
        <v>42</v>
      </c>
      <c r="B472" s="154" t="s">
        <v>308</v>
      </c>
      <c r="C472" s="154"/>
      <c r="D472" s="154"/>
      <c r="E472" s="154"/>
      <c r="F472" s="36"/>
      <c r="G472" s="36"/>
      <c r="H472" s="5">
        <f>H473</f>
        <v>150000</v>
      </c>
      <c r="I472" s="36"/>
      <c r="J472" s="36"/>
    </row>
    <row r="473" spans="1:10" s="1" customFormat="1" ht="12.75" customHeight="1" x14ac:dyDescent="0.25">
      <c r="A473" s="3">
        <v>421</v>
      </c>
      <c r="B473" s="3" t="s">
        <v>309</v>
      </c>
      <c r="C473" s="3"/>
      <c r="D473" s="3"/>
      <c r="E473" s="3"/>
      <c r="F473" s="36"/>
      <c r="G473" s="36"/>
      <c r="H473" s="5">
        <f>H474</f>
        <v>150000</v>
      </c>
      <c r="I473" s="36"/>
      <c r="J473" s="36"/>
    </row>
    <row r="474" spans="1:10" s="1" customFormat="1" ht="12.75" customHeight="1" x14ac:dyDescent="0.25">
      <c r="A474" s="28">
        <v>4214</v>
      </c>
      <c r="B474" s="153" t="s">
        <v>313</v>
      </c>
      <c r="C474" s="153"/>
      <c r="D474" s="153"/>
      <c r="E474" s="153"/>
      <c r="F474" s="36"/>
      <c r="G474" s="36"/>
      <c r="H474" s="36">
        <v>150000</v>
      </c>
      <c r="I474" s="36"/>
      <c r="J474" s="36"/>
    </row>
    <row r="475" spans="1:10" s="1" customFormat="1" ht="12.75" customHeight="1" x14ac:dyDescent="0.25">
      <c r="F475" s="36"/>
      <c r="G475" s="36"/>
      <c r="H475" s="36"/>
      <c r="I475" s="36"/>
      <c r="J475" s="36"/>
    </row>
    <row r="476" spans="1:10" s="3" customFormat="1" ht="12" customHeight="1" x14ac:dyDescent="0.25">
      <c r="A476" s="143" t="s">
        <v>315</v>
      </c>
      <c r="B476" s="143"/>
      <c r="C476" s="143"/>
      <c r="D476" s="143"/>
      <c r="E476" s="143"/>
      <c r="F476" s="78"/>
      <c r="G476" s="78"/>
      <c r="H476" s="78">
        <f>H478</f>
        <v>330000</v>
      </c>
      <c r="I476" s="78"/>
      <c r="J476" s="78"/>
    </row>
    <row r="477" spans="1:10" s="1" customFormat="1" ht="12.75" customHeight="1" x14ac:dyDescent="0.25">
      <c r="F477" s="36"/>
      <c r="G477" s="36"/>
      <c r="H477" s="36"/>
      <c r="I477" s="36"/>
      <c r="J477" s="36"/>
    </row>
    <row r="478" spans="1:10" s="1" customFormat="1" ht="12.75" customHeight="1" x14ac:dyDescent="0.25">
      <c r="A478" s="3">
        <v>42</v>
      </c>
      <c r="B478" s="154" t="s">
        <v>308</v>
      </c>
      <c r="C478" s="154"/>
      <c r="D478" s="154"/>
      <c r="E478" s="154"/>
      <c r="F478" s="36"/>
      <c r="G478" s="36"/>
      <c r="H478" s="5">
        <f>H479</f>
        <v>330000</v>
      </c>
      <c r="I478" s="36"/>
      <c r="J478" s="36"/>
    </row>
    <row r="479" spans="1:10" s="1" customFormat="1" ht="12.75" customHeight="1" x14ac:dyDescent="0.25">
      <c r="A479" s="3">
        <v>421</v>
      </c>
      <c r="B479" s="3" t="s">
        <v>309</v>
      </c>
      <c r="C479" s="3"/>
      <c r="D479" s="3"/>
      <c r="E479" s="3"/>
      <c r="F479" s="36"/>
      <c r="G479" s="36"/>
      <c r="H479" s="5">
        <f>H480</f>
        <v>330000</v>
      </c>
      <c r="I479" s="36"/>
      <c r="J479" s="36"/>
    </row>
    <row r="480" spans="1:10" s="1" customFormat="1" ht="12.75" customHeight="1" x14ac:dyDescent="0.25">
      <c r="A480" s="28">
        <v>4214</v>
      </c>
      <c r="B480" s="153" t="s">
        <v>313</v>
      </c>
      <c r="C480" s="153"/>
      <c r="D480" s="153"/>
      <c r="E480" s="153"/>
      <c r="F480" s="36"/>
      <c r="G480" s="36"/>
      <c r="H480" s="36">
        <v>330000</v>
      </c>
      <c r="I480" s="36"/>
      <c r="J480" s="36"/>
    </row>
    <row r="481" spans="1:12" s="1" customFormat="1" ht="12.75" customHeight="1" x14ac:dyDescent="0.25">
      <c r="A481" s="28"/>
      <c r="B481" s="126"/>
      <c r="C481" s="126"/>
      <c r="D481" s="126"/>
      <c r="E481" s="126"/>
      <c r="F481" s="36"/>
      <c r="G481" s="36"/>
      <c r="H481" s="36"/>
      <c r="I481" s="36"/>
      <c r="J481" s="36"/>
    </row>
    <row r="482" spans="1:12" s="3" customFormat="1" ht="12.75" customHeight="1" x14ac:dyDescent="0.25">
      <c r="A482" s="143" t="s">
        <v>316</v>
      </c>
      <c r="B482" s="143"/>
      <c r="C482" s="143"/>
      <c r="D482" s="143"/>
      <c r="E482" s="143"/>
      <c r="F482" s="78"/>
      <c r="G482" s="78"/>
      <c r="H482" s="78">
        <v>200000</v>
      </c>
      <c r="I482" s="78"/>
      <c r="J482" s="78"/>
    </row>
    <row r="483" spans="1:12" s="1" customFormat="1" ht="12.75" customHeight="1" x14ac:dyDescent="0.25">
      <c r="F483" s="36"/>
      <c r="G483" s="36"/>
      <c r="H483" s="36"/>
      <c r="I483" s="36"/>
      <c r="J483" s="36"/>
    </row>
    <row r="484" spans="1:12" s="1" customFormat="1" ht="12.75" customHeight="1" x14ac:dyDescent="0.25">
      <c r="A484" s="3">
        <v>42</v>
      </c>
      <c r="B484" s="154" t="s">
        <v>308</v>
      </c>
      <c r="C484" s="154"/>
      <c r="D484" s="154"/>
      <c r="E484" s="154"/>
      <c r="F484" s="36"/>
      <c r="G484" s="36"/>
      <c r="H484" s="5">
        <f>H485</f>
        <v>200000</v>
      </c>
      <c r="I484" s="36"/>
      <c r="J484" s="36"/>
    </row>
    <row r="485" spans="1:12" s="1" customFormat="1" ht="12.75" customHeight="1" x14ac:dyDescent="0.25">
      <c r="A485" s="3">
        <v>421</v>
      </c>
      <c r="B485" s="3" t="s">
        <v>309</v>
      </c>
      <c r="C485" s="3"/>
      <c r="D485" s="3"/>
      <c r="E485" s="3"/>
      <c r="F485" s="36"/>
      <c r="G485" s="36"/>
      <c r="H485" s="5">
        <f>H486</f>
        <v>200000</v>
      </c>
      <c r="I485" s="36"/>
      <c r="J485" s="36"/>
    </row>
    <row r="486" spans="1:12" s="1" customFormat="1" ht="12.75" customHeight="1" x14ac:dyDescent="0.25">
      <c r="A486" s="28">
        <v>4214</v>
      </c>
      <c r="B486" s="153" t="s">
        <v>313</v>
      </c>
      <c r="C486" s="153"/>
      <c r="D486" s="153"/>
      <c r="E486" s="153"/>
      <c r="F486" s="36"/>
      <c r="G486" s="36"/>
      <c r="H486" s="36">
        <v>200000</v>
      </c>
      <c r="I486" s="36"/>
      <c r="J486" s="36"/>
    </row>
    <row r="487" spans="1:12" s="1" customFormat="1" ht="12.75" customHeight="1" x14ac:dyDescent="0.25">
      <c r="F487" s="36"/>
      <c r="G487" s="36"/>
      <c r="H487" s="36"/>
      <c r="I487" s="36"/>
      <c r="J487" s="36"/>
    </row>
    <row r="488" spans="1:12" s="2" customFormat="1" ht="13.8" x14ac:dyDescent="0.25">
      <c r="A488" s="68" t="s">
        <v>317</v>
      </c>
      <c r="B488" s="68"/>
      <c r="C488" s="68"/>
      <c r="D488" s="68"/>
      <c r="E488" s="68"/>
      <c r="F488" s="76"/>
      <c r="G488" s="76"/>
      <c r="H488" s="76"/>
      <c r="I488" s="77"/>
      <c r="J488" s="99"/>
      <c r="K488" s="1"/>
      <c r="L488" s="1"/>
    </row>
    <row r="489" spans="1:12" s="2" customFormat="1" ht="13.8" x14ac:dyDescent="0.25">
      <c r="A489" s="68"/>
      <c r="B489" s="68" t="s">
        <v>318</v>
      </c>
      <c r="C489" s="68"/>
      <c r="D489" s="68"/>
      <c r="E489" s="68"/>
      <c r="F489" s="76">
        <f t="shared" ref="F489" si="73">F493</f>
        <v>1402000</v>
      </c>
      <c r="G489" s="76" t="e">
        <f>G493+#REF!</f>
        <v>#REF!</v>
      </c>
      <c r="H489" s="76">
        <f>H493</f>
        <v>1800000</v>
      </c>
      <c r="I489" s="76">
        <f t="shared" ref="I489:J489" si="74">I493</f>
        <v>0</v>
      </c>
      <c r="J489" s="76">
        <f t="shared" si="74"/>
        <v>0</v>
      </c>
      <c r="K489" s="1"/>
      <c r="L489" s="1"/>
    </row>
    <row r="490" spans="1:12" s="1" customFormat="1" ht="13.2" x14ac:dyDescent="0.25">
      <c r="A490" s="144" t="s">
        <v>132</v>
      </c>
      <c r="B490" s="144"/>
      <c r="C490" s="144"/>
      <c r="D490" s="144"/>
      <c r="E490" s="144"/>
      <c r="F490" s="67"/>
      <c r="G490" s="67"/>
      <c r="H490" s="67"/>
      <c r="I490" s="67"/>
      <c r="J490" s="67"/>
    </row>
    <row r="491" spans="1:12" s="1" customFormat="1" ht="13.2" x14ac:dyDescent="0.25">
      <c r="A491" s="144" t="s">
        <v>263</v>
      </c>
      <c r="B491" s="144"/>
      <c r="C491" s="144"/>
      <c r="D491" s="144"/>
      <c r="E491" s="144"/>
      <c r="F491" s="67"/>
      <c r="G491" s="67"/>
      <c r="H491" s="67"/>
      <c r="I491" s="67"/>
      <c r="J491" s="85"/>
      <c r="K491" s="3"/>
      <c r="L491" s="3"/>
    </row>
    <row r="492" spans="1:12" s="1" customFormat="1" ht="13.2" x14ac:dyDescent="0.25">
      <c r="F492" s="36"/>
      <c r="G492" s="36"/>
      <c r="H492" s="36"/>
      <c r="I492" s="36"/>
      <c r="J492" s="36"/>
    </row>
    <row r="493" spans="1:12" s="1" customFormat="1" ht="13.2" x14ac:dyDescent="0.25">
      <c r="A493" s="3">
        <v>42</v>
      </c>
      <c r="B493" s="3" t="s">
        <v>308</v>
      </c>
      <c r="C493" s="3"/>
      <c r="D493" s="3"/>
      <c r="E493" s="3"/>
      <c r="F493" s="5">
        <f t="shared" ref="F493:J493" si="75">F494</f>
        <v>1402000</v>
      </c>
      <c r="G493" s="5">
        <f t="shared" si="75"/>
        <v>269772.24</v>
      </c>
      <c r="H493" s="5">
        <f t="shared" si="75"/>
        <v>1800000</v>
      </c>
      <c r="I493" s="5">
        <f t="shared" si="75"/>
        <v>0</v>
      </c>
      <c r="J493" s="5">
        <f t="shared" si="75"/>
        <v>0</v>
      </c>
    </row>
    <row r="494" spans="1:12" s="1" customFormat="1" ht="13.2" x14ac:dyDescent="0.25">
      <c r="A494" s="3">
        <v>421</v>
      </c>
      <c r="B494" s="3" t="s">
        <v>309</v>
      </c>
      <c r="C494" s="3"/>
      <c r="D494" s="3"/>
      <c r="E494" s="3"/>
      <c r="F494" s="5">
        <f>F495+F496+F497</f>
        <v>1402000</v>
      </c>
      <c r="G494" s="5">
        <f>G495+G496+G497</f>
        <v>269772.24</v>
      </c>
      <c r="H494" s="5">
        <f>H495+H496+H497</f>
        <v>1800000</v>
      </c>
      <c r="I494" s="5"/>
      <c r="J494" s="5"/>
    </row>
    <row r="495" spans="1:12" s="1" customFormat="1" ht="13.2" x14ac:dyDescent="0.25">
      <c r="A495" s="1">
        <v>4212</v>
      </c>
      <c r="B495" s="1" t="s">
        <v>319</v>
      </c>
      <c r="F495" s="36">
        <v>252000</v>
      </c>
      <c r="G495" s="36">
        <f>269772.24-18750</f>
        <v>251022.24</v>
      </c>
      <c r="H495" s="36"/>
      <c r="I495" s="36"/>
      <c r="J495" s="36"/>
    </row>
    <row r="496" spans="1:12" s="1" customFormat="1" ht="13.2" x14ac:dyDescent="0.25">
      <c r="A496" s="1">
        <v>4212</v>
      </c>
      <c r="B496" s="153" t="s">
        <v>320</v>
      </c>
      <c r="C496" s="153"/>
      <c r="D496" s="153"/>
      <c r="E496" s="153"/>
      <c r="F496" s="36">
        <v>1000000</v>
      </c>
      <c r="G496" s="34">
        <v>18750</v>
      </c>
      <c r="H496" s="36">
        <v>1800000</v>
      </c>
      <c r="I496" s="36"/>
      <c r="J496" s="36"/>
    </row>
    <row r="497" spans="1:12" s="1" customFormat="1" ht="13.2" x14ac:dyDescent="0.25">
      <c r="A497" s="1">
        <v>4217</v>
      </c>
      <c r="B497" s="1" t="s">
        <v>321</v>
      </c>
      <c r="F497" s="36">
        <v>150000</v>
      </c>
      <c r="G497" s="36"/>
      <c r="H497" s="36"/>
      <c r="I497" s="36"/>
      <c r="J497" s="36"/>
    </row>
    <row r="498" spans="1:12" s="1" customFormat="1" ht="13.2" x14ac:dyDescent="0.25">
      <c r="F498" s="36"/>
      <c r="G498" s="36"/>
      <c r="H498" s="36"/>
      <c r="I498" s="36"/>
      <c r="J498" s="36"/>
    </row>
    <row r="499" spans="1:12" s="2" customFormat="1" ht="13.8" x14ac:dyDescent="0.25">
      <c r="A499" s="68" t="s">
        <v>322</v>
      </c>
      <c r="B499" s="68"/>
      <c r="C499" s="68"/>
      <c r="D499" s="68"/>
      <c r="E499" s="68"/>
      <c r="F499" s="76"/>
      <c r="G499" s="76"/>
      <c r="H499" s="76"/>
      <c r="I499" s="77"/>
      <c r="J499" s="99"/>
      <c r="K499" s="1"/>
      <c r="L499" s="1"/>
    </row>
    <row r="500" spans="1:12" s="2" customFormat="1" ht="13.8" x14ac:dyDescent="0.25">
      <c r="A500" s="68"/>
      <c r="B500" s="68" t="s">
        <v>323</v>
      </c>
      <c r="C500" s="68"/>
      <c r="D500" s="68"/>
      <c r="E500" s="68"/>
      <c r="F500" s="76">
        <f t="shared" ref="F500" si="76">F503</f>
        <v>106000</v>
      </c>
      <c r="G500" s="77">
        <f>G503</f>
        <v>105671.88</v>
      </c>
      <c r="H500" s="77">
        <f t="shared" ref="H500:J500" si="77">H503</f>
        <v>70000</v>
      </c>
      <c r="I500" s="77">
        <f t="shared" si="77"/>
        <v>0</v>
      </c>
      <c r="J500" s="77">
        <f t="shared" si="77"/>
        <v>0</v>
      </c>
      <c r="K500" s="1"/>
      <c r="L500" s="1"/>
    </row>
    <row r="501" spans="1:12" s="1" customFormat="1" ht="13.2" x14ac:dyDescent="0.25">
      <c r="A501" s="144" t="s">
        <v>324</v>
      </c>
      <c r="B501" s="144"/>
      <c r="C501" s="144"/>
      <c r="D501" s="144"/>
      <c r="E501" s="144"/>
      <c r="F501" s="67"/>
      <c r="G501" s="67"/>
      <c r="H501" s="67"/>
      <c r="I501" s="67"/>
      <c r="J501" s="67"/>
    </row>
    <row r="502" spans="1:12" s="1" customFormat="1" x14ac:dyDescent="0.3">
      <c r="A502" s="144" t="s">
        <v>176</v>
      </c>
      <c r="B502" s="144"/>
      <c r="C502" s="144"/>
      <c r="D502" s="144"/>
      <c r="E502" s="144"/>
      <c r="F502" s="67"/>
      <c r="G502" s="67"/>
      <c r="H502" s="67"/>
      <c r="I502" s="67"/>
      <c r="J502" s="80"/>
      <c r="K502"/>
      <c r="L502"/>
    </row>
    <row r="503" spans="1:12" s="1" customFormat="1" ht="13.2" x14ac:dyDescent="0.25">
      <c r="A503" s="3">
        <v>42</v>
      </c>
      <c r="B503" s="3" t="s">
        <v>308</v>
      </c>
      <c r="C503" s="3"/>
      <c r="D503" s="3"/>
      <c r="E503" s="3"/>
      <c r="F503" s="5">
        <f t="shared" ref="F503:I504" si="78">F504</f>
        <v>106000</v>
      </c>
      <c r="G503" s="5">
        <f t="shared" si="78"/>
        <v>105671.88</v>
      </c>
      <c r="H503" s="5">
        <f t="shared" si="78"/>
        <v>70000</v>
      </c>
      <c r="I503" s="5">
        <f t="shared" si="78"/>
        <v>0</v>
      </c>
      <c r="J503" s="5"/>
      <c r="K503" s="3"/>
      <c r="L503" s="3"/>
    </row>
    <row r="504" spans="1:12" s="1" customFormat="1" ht="13.2" x14ac:dyDescent="0.25">
      <c r="A504" s="3">
        <v>421</v>
      </c>
      <c r="B504" s="3" t="s">
        <v>309</v>
      </c>
      <c r="C504" s="3"/>
      <c r="D504" s="3"/>
      <c r="E504" s="3"/>
      <c r="F504" s="5">
        <f t="shared" si="78"/>
        <v>106000</v>
      </c>
      <c r="G504" s="5">
        <f t="shared" si="78"/>
        <v>105671.88</v>
      </c>
      <c r="H504" s="5">
        <f>H505+H506</f>
        <v>70000</v>
      </c>
      <c r="I504" s="5"/>
      <c r="J504" s="5"/>
      <c r="K504" s="3"/>
      <c r="L504" s="3"/>
    </row>
    <row r="505" spans="1:12" s="1" customFormat="1" ht="13.2" x14ac:dyDescent="0.25">
      <c r="A505" s="1">
        <v>4214</v>
      </c>
      <c r="B505" s="1" t="s">
        <v>325</v>
      </c>
      <c r="F505" s="36">
        <v>106000</v>
      </c>
      <c r="G505" s="36">
        <v>105671.88</v>
      </c>
      <c r="H505" s="36"/>
      <c r="I505" s="36"/>
      <c r="J505" s="36"/>
    </row>
    <row r="506" spans="1:12" x14ac:dyDescent="0.3">
      <c r="A506" s="1">
        <v>4213</v>
      </c>
      <c r="B506" s="146" t="s">
        <v>326</v>
      </c>
      <c r="C506" s="146"/>
      <c r="D506" s="146"/>
      <c r="E506" s="146"/>
      <c r="G506" s="40"/>
      <c r="H506" s="36">
        <v>70000</v>
      </c>
      <c r="I506" s="10"/>
      <c r="J506" s="36"/>
      <c r="K506" s="1"/>
      <c r="L506" s="1"/>
    </row>
    <row r="507" spans="1:12" s="3" customFormat="1" ht="13.8" x14ac:dyDescent="0.25">
      <c r="A507" s="61" t="s">
        <v>327</v>
      </c>
      <c r="B507" s="61"/>
      <c r="C507" s="61"/>
      <c r="D507" s="61"/>
      <c r="E507" s="61"/>
      <c r="F507" s="82">
        <f t="shared" ref="F507:J507" si="79">F511</f>
        <v>215000</v>
      </c>
      <c r="G507" s="82">
        <f t="shared" si="79"/>
        <v>16845.849999999999</v>
      </c>
      <c r="H507" s="82">
        <f>H511</f>
        <v>100000</v>
      </c>
      <c r="I507" s="82">
        <f t="shared" si="79"/>
        <v>0</v>
      </c>
      <c r="J507" s="82">
        <f t="shared" si="79"/>
        <v>0</v>
      </c>
      <c r="K507" s="1"/>
      <c r="L507" s="1"/>
    </row>
    <row r="508" spans="1:12" s="3" customFormat="1" ht="13.8" x14ac:dyDescent="0.25">
      <c r="A508" s="61"/>
      <c r="B508" s="61" t="s">
        <v>328</v>
      </c>
      <c r="C508" s="61"/>
      <c r="D508" s="61"/>
      <c r="E508" s="61"/>
      <c r="F508" s="111"/>
      <c r="G508" s="111"/>
      <c r="H508" s="111"/>
      <c r="I508" s="62"/>
      <c r="J508" s="112"/>
      <c r="K508" s="1"/>
      <c r="L508" s="1"/>
    </row>
    <row r="509" spans="1:12" s="3" customFormat="1" ht="13.8" x14ac:dyDescent="0.25">
      <c r="A509" s="63" t="s">
        <v>284</v>
      </c>
      <c r="B509" s="63"/>
      <c r="C509" s="63"/>
      <c r="D509" s="63"/>
      <c r="E509" s="63"/>
      <c r="F509" s="93"/>
      <c r="G509" s="93"/>
      <c r="H509" s="93"/>
      <c r="I509" s="83"/>
      <c r="J509" s="110"/>
      <c r="K509" s="1"/>
      <c r="L509" s="1"/>
    </row>
    <row r="510" spans="1:12" s="1" customFormat="1" ht="13.8" x14ac:dyDescent="0.25">
      <c r="A510" s="68" t="s">
        <v>329</v>
      </c>
      <c r="B510" s="68"/>
      <c r="C510" s="68"/>
      <c r="D510" s="68"/>
      <c r="E510" s="68"/>
      <c r="F510" s="94"/>
      <c r="G510" s="94"/>
      <c r="H510" s="94"/>
      <c r="I510" s="99"/>
      <c r="J510" s="78"/>
      <c r="K510" s="3"/>
      <c r="L510" s="3"/>
    </row>
    <row r="511" spans="1:12" s="1" customFormat="1" ht="13.8" x14ac:dyDescent="0.25">
      <c r="A511" s="68"/>
      <c r="B511" s="68" t="s">
        <v>330</v>
      </c>
      <c r="C511" s="68"/>
      <c r="D511" s="68"/>
      <c r="E511" s="68"/>
      <c r="F511" s="76">
        <f t="shared" ref="F511:J511" si="80">F514</f>
        <v>215000</v>
      </c>
      <c r="G511" s="76">
        <f>G514</f>
        <v>16845.849999999999</v>
      </c>
      <c r="H511" s="76">
        <f t="shared" si="80"/>
        <v>100000</v>
      </c>
      <c r="I511" s="76">
        <f t="shared" si="80"/>
        <v>0</v>
      </c>
      <c r="J511" s="76">
        <f t="shared" si="80"/>
        <v>0</v>
      </c>
    </row>
    <row r="512" spans="1:12" s="1" customFormat="1" ht="13.8" x14ac:dyDescent="0.25">
      <c r="A512" s="142" t="s">
        <v>132</v>
      </c>
      <c r="B512" s="142"/>
      <c r="C512" s="142"/>
      <c r="D512" s="142"/>
      <c r="E512" s="142"/>
      <c r="F512" s="67"/>
      <c r="G512" s="67"/>
      <c r="H512" s="67"/>
      <c r="I512" s="67"/>
      <c r="J512" s="67"/>
    </row>
    <row r="513" spans="1:12" s="1" customFormat="1" ht="13.8" x14ac:dyDescent="0.25">
      <c r="A513" s="2"/>
      <c r="B513" s="2"/>
      <c r="C513" s="2"/>
      <c r="D513" s="2"/>
      <c r="E513" s="2"/>
      <c r="F513" s="36"/>
      <c r="G513" s="36"/>
      <c r="H513" s="36"/>
      <c r="I513" s="36"/>
      <c r="J513" s="36"/>
    </row>
    <row r="514" spans="1:12" s="1" customFormat="1" ht="13.2" x14ac:dyDescent="0.25">
      <c r="A514" s="3">
        <v>42</v>
      </c>
      <c r="B514" s="3" t="s">
        <v>331</v>
      </c>
      <c r="C514" s="3"/>
      <c r="D514" s="3"/>
      <c r="E514" s="3"/>
      <c r="F514" s="5">
        <f t="shared" ref="F514:H514" si="81">F515</f>
        <v>215000</v>
      </c>
      <c r="G514" s="5">
        <f t="shared" si="81"/>
        <v>16845.849999999999</v>
      </c>
      <c r="H514" s="5">
        <f t="shared" si="81"/>
        <v>100000</v>
      </c>
      <c r="I514" s="5"/>
      <c r="J514" s="5"/>
    </row>
    <row r="515" spans="1:12" s="3" customFormat="1" ht="13.2" x14ac:dyDescent="0.25">
      <c r="A515" s="3">
        <v>421</v>
      </c>
      <c r="B515" s="3" t="s">
        <v>309</v>
      </c>
      <c r="F515" s="5">
        <f t="shared" ref="F515:H515" si="82">SUM(F516:F517)</f>
        <v>215000</v>
      </c>
      <c r="G515" s="5">
        <f t="shared" si="82"/>
        <v>16845.849999999999</v>
      </c>
      <c r="H515" s="5">
        <f t="shared" si="82"/>
        <v>100000</v>
      </c>
      <c r="I515" s="5"/>
      <c r="J515" s="5"/>
      <c r="K515" s="1"/>
      <c r="L515" s="1"/>
    </row>
    <row r="516" spans="1:12" s="1" customFormat="1" x14ac:dyDescent="0.3">
      <c r="A516">
        <v>4214</v>
      </c>
      <c r="B516" t="s">
        <v>332</v>
      </c>
      <c r="C516"/>
      <c r="D516"/>
      <c r="E516"/>
      <c r="F516" s="36">
        <v>15000</v>
      </c>
      <c r="G516" s="36">
        <v>16288.63</v>
      </c>
      <c r="H516" s="36"/>
      <c r="I516" s="36"/>
      <c r="J516" s="36"/>
    </row>
    <row r="517" spans="1:12" s="1" customFormat="1" x14ac:dyDescent="0.3">
      <c r="A517">
        <v>4214</v>
      </c>
      <c r="B517" s="1" t="s">
        <v>333</v>
      </c>
      <c r="C517"/>
      <c r="D517"/>
      <c r="E517"/>
      <c r="F517" s="36">
        <v>200000</v>
      </c>
      <c r="G517" s="36">
        <v>557.22</v>
      </c>
      <c r="H517" s="36">
        <v>100000</v>
      </c>
      <c r="I517" s="36"/>
      <c r="J517" s="36"/>
    </row>
    <row r="518" spans="1:12" s="1" customFormat="1" x14ac:dyDescent="0.3">
      <c r="A518"/>
      <c r="C518"/>
      <c r="D518"/>
      <c r="E518"/>
      <c r="F518" s="36"/>
      <c r="G518" s="36"/>
      <c r="H518" s="36"/>
      <c r="I518" s="36"/>
      <c r="J518" s="36"/>
    </row>
    <row r="519" spans="1:12" s="1" customFormat="1" ht="13.8" x14ac:dyDescent="0.25">
      <c r="A519" s="61" t="s">
        <v>334</v>
      </c>
      <c r="B519" s="61"/>
      <c r="C519" s="61"/>
      <c r="D519" s="61"/>
      <c r="E519" s="61"/>
      <c r="F519" s="82">
        <f>F521+F532+F548+F557</f>
        <v>10099000</v>
      </c>
      <c r="G519" s="82">
        <f>G521+G532+G548+G557</f>
        <v>2606520.6599999997</v>
      </c>
      <c r="H519" s="82">
        <f>H521+H532+H548+H557</f>
        <v>1869000</v>
      </c>
      <c r="I519" s="82">
        <f>I521+I532+I548+I557</f>
        <v>82000</v>
      </c>
      <c r="J519" s="82">
        <f>J521+J532+J548+J557</f>
        <v>72000</v>
      </c>
    </row>
    <row r="520" spans="1:12" s="1" customFormat="1" ht="13.8" x14ac:dyDescent="0.25">
      <c r="A520" s="63" t="s">
        <v>335</v>
      </c>
      <c r="B520" s="63"/>
      <c r="C520" s="63"/>
      <c r="D520" s="63"/>
      <c r="E520" s="63"/>
      <c r="F520" s="93"/>
      <c r="G520" s="93"/>
      <c r="H520" s="93"/>
      <c r="I520" s="110"/>
      <c r="J520" s="110"/>
    </row>
    <row r="521" spans="1:12" s="1" customFormat="1" ht="13.8" x14ac:dyDescent="0.25">
      <c r="A521" s="68" t="s">
        <v>336</v>
      </c>
      <c r="B521" s="68"/>
      <c r="C521" s="68"/>
      <c r="D521" s="68"/>
      <c r="E521" s="68"/>
      <c r="F521" s="76">
        <f>F524+F528</f>
        <v>62000</v>
      </c>
      <c r="G521" s="76">
        <f>G524+G528</f>
        <v>48481.07</v>
      </c>
      <c r="H521" s="76">
        <f>H524+H528</f>
        <v>82000</v>
      </c>
      <c r="I521" s="76">
        <f>I524+I528</f>
        <v>82000</v>
      </c>
      <c r="J521" s="76">
        <f>J524+J528</f>
        <v>72000</v>
      </c>
    </row>
    <row r="522" spans="1:12" s="1" customFormat="1" x14ac:dyDescent="0.3">
      <c r="A522" s="144" t="s">
        <v>132</v>
      </c>
      <c r="B522" s="145"/>
      <c r="C522" s="145"/>
      <c r="D522" s="145"/>
      <c r="E522" s="145"/>
      <c r="F522" s="67"/>
      <c r="G522" s="67"/>
      <c r="H522" s="67"/>
      <c r="I522" s="67"/>
      <c r="J522" s="67"/>
    </row>
    <row r="523" spans="1:12" s="1" customFormat="1" x14ac:dyDescent="0.3">
      <c r="A523"/>
      <c r="C523"/>
      <c r="D523"/>
      <c r="E523"/>
      <c r="F523" s="36"/>
      <c r="G523" s="36"/>
      <c r="H523" s="36"/>
      <c r="I523" s="36"/>
      <c r="J523" s="36"/>
    </row>
    <row r="524" spans="1:12" s="1" customFormat="1" ht="13.2" x14ac:dyDescent="0.25">
      <c r="A524" s="3">
        <v>32</v>
      </c>
      <c r="B524" s="3" t="s">
        <v>140</v>
      </c>
      <c r="C524" s="3"/>
      <c r="D524" s="3"/>
      <c r="E524" s="3"/>
      <c r="F524" s="5">
        <f t="shared" ref="F524:H524" si="83">F525</f>
        <v>50000</v>
      </c>
      <c r="G524" s="5">
        <f t="shared" si="83"/>
        <v>37481.07</v>
      </c>
      <c r="H524" s="5">
        <f t="shared" si="83"/>
        <v>70000</v>
      </c>
      <c r="I524" s="5">
        <v>70000</v>
      </c>
      <c r="J524" s="5">
        <v>60000</v>
      </c>
    </row>
    <row r="525" spans="1:12" s="1" customFormat="1" ht="13.2" x14ac:dyDescent="0.25">
      <c r="A525" s="3">
        <v>323</v>
      </c>
      <c r="B525" s="3" t="s">
        <v>144</v>
      </c>
      <c r="C525" s="3"/>
      <c r="D525" s="3"/>
      <c r="E525" s="3"/>
      <c r="F525" s="5">
        <f>SUM(F526:F527)</f>
        <v>50000</v>
      </c>
      <c r="G525" s="5">
        <f>SUM(G526:G527)</f>
        <v>37481.07</v>
      </c>
      <c r="H525" s="5">
        <f>SUM(H526:H527)</f>
        <v>70000</v>
      </c>
      <c r="I525" s="5"/>
      <c r="J525" s="5"/>
    </row>
    <row r="526" spans="1:12" s="1" customFormat="1" x14ac:dyDescent="0.3">
      <c r="A526">
        <v>3234</v>
      </c>
      <c r="B526" s="1" t="s">
        <v>337</v>
      </c>
      <c r="C526"/>
      <c r="D526"/>
      <c r="E526"/>
      <c r="F526" s="36">
        <v>40000</v>
      </c>
      <c r="G526" s="36">
        <v>37481.07</v>
      </c>
      <c r="H526" s="36">
        <v>45000</v>
      </c>
      <c r="I526" s="36"/>
      <c r="J526" s="36"/>
      <c r="K526" s="3"/>
      <c r="L526" s="3"/>
    </row>
    <row r="527" spans="1:12" s="1" customFormat="1" x14ac:dyDescent="0.3">
      <c r="A527">
        <v>3239</v>
      </c>
      <c r="B527" s="1" t="s">
        <v>338</v>
      </c>
      <c r="C527"/>
      <c r="D527"/>
      <c r="E527"/>
      <c r="F527" s="36">
        <v>10000</v>
      </c>
      <c r="G527" s="36"/>
      <c r="H527" s="36">
        <v>25000</v>
      </c>
      <c r="I527" s="36"/>
      <c r="J527" s="36"/>
    </row>
    <row r="528" spans="1:12" s="1" customFormat="1" ht="13.2" x14ac:dyDescent="0.25">
      <c r="A528" s="3">
        <v>36</v>
      </c>
      <c r="B528" s="3" t="s">
        <v>275</v>
      </c>
      <c r="C528" s="3"/>
      <c r="D528" s="3"/>
      <c r="E528" s="3"/>
      <c r="F528" s="5">
        <f t="shared" ref="F528:H529" si="84">F529</f>
        <v>12000</v>
      </c>
      <c r="G528" s="5">
        <f t="shared" si="84"/>
        <v>11000</v>
      </c>
      <c r="H528" s="5">
        <f t="shared" si="84"/>
        <v>12000</v>
      </c>
      <c r="I528" s="5">
        <v>12000</v>
      </c>
      <c r="J528" s="5">
        <v>12000</v>
      </c>
    </row>
    <row r="529" spans="1:12" s="3" customFormat="1" ht="13.2" x14ac:dyDescent="0.25">
      <c r="A529" s="3">
        <v>363</v>
      </c>
      <c r="B529" s="3" t="s">
        <v>275</v>
      </c>
      <c r="F529" s="5">
        <f t="shared" si="84"/>
        <v>12000</v>
      </c>
      <c r="G529" s="5">
        <f t="shared" si="84"/>
        <v>11000</v>
      </c>
      <c r="H529" s="5">
        <f t="shared" si="84"/>
        <v>12000</v>
      </c>
      <c r="I529" s="5"/>
      <c r="J529" s="5"/>
      <c r="K529" s="1"/>
      <c r="L529" s="1"/>
    </row>
    <row r="530" spans="1:12" s="3" customFormat="1" x14ac:dyDescent="0.3">
      <c r="A530">
        <v>3631</v>
      </c>
      <c r="B530" s="1" t="s">
        <v>339</v>
      </c>
      <c r="C530"/>
      <c r="D530"/>
      <c r="E530"/>
      <c r="F530" s="36">
        <v>12000</v>
      </c>
      <c r="G530" s="36">
        <v>11000</v>
      </c>
      <c r="H530" s="36">
        <v>12000</v>
      </c>
      <c r="I530" s="36"/>
      <c r="J530" s="36"/>
      <c r="K530" s="1"/>
      <c r="L530" s="1"/>
    </row>
    <row r="531" spans="1:12" s="1" customFormat="1" x14ac:dyDescent="0.3">
      <c r="A531"/>
      <c r="C531"/>
      <c r="D531"/>
      <c r="E531"/>
      <c r="F531" s="36"/>
      <c r="G531" s="36"/>
      <c r="H531" s="36"/>
      <c r="I531" s="36"/>
      <c r="J531" s="36"/>
    </row>
    <row r="532" spans="1:12" s="1" customFormat="1" ht="13.8" x14ac:dyDescent="0.25">
      <c r="A532" s="68" t="s">
        <v>340</v>
      </c>
      <c r="B532" s="68"/>
      <c r="C532" s="68"/>
      <c r="D532" s="68"/>
      <c r="E532" s="68"/>
      <c r="F532" s="76">
        <f>F537+F544</f>
        <v>10000000</v>
      </c>
      <c r="G532" s="76">
        <f>G537+G544</f>
        <v>2522286.46</v>
      </c>
      <c r="H532" s="76">
        <f>H537+H544+H546</f>
        <v>1772000</v>
      </c>
      <c r="I532" s="76">
        <f t="shared" ref="I532:J532" si="85">I537+I544</f>
        <v>0</v>
      </c>
      <c r="J532" s="76">
        <f t="shared" si="85"/>
        <v>0</v>
      </c>
    </row>
    <row r="533" spans="1:12" s="1" customFormat="1" ht="13.8" x14ac:dyDescent="0.25">
      <c r="A533" s="68"/>
      <c r="B533" s="68" t="s">
        <v>532</v>
      </c>
      <c r="C533" s="68"/>
      <c r="D533" s="68"/>
      <c r="E533" s="68"/>
      <c r="F533" s="76"/>
      <c r="G533" s="76"/>
      <c r="H533" s="76"/>
      <c r="I533" s="99"/>
      <c r="J533" s="78"/>
      <c r="K533" s="3"/>
      <c r="L533" s="3"/>
    </row>
    <row r="534" spans="1:12" s="1" customFormat="1" ht="13.8" x14ac:dyDescent="0.25">
      <c r="A534" s="142" t="s">
        <v>132</v>
      </c>
      <c r="B534" s="142"/>
      <c r="C534" s="142"/>
      <c r="D534" s="142"/>
      <c r="E534" s="142"/>
      <c r="F534" s="79"/>
      <c r="G534" s="79"/>
      <c r="H534" s="79"/>
      <c r="I534" s="67"/>
      <c r="J534" s="67"/>
    </row>
    <row r="535" spans="1:12" s="1" customFormat="1" ht="13.8" x14ac:dyDescent="0.25">
      <c r="A535" s="142" t="s">
        <v>163</v>
      </c>
      <c r="B535" s="142"/>
      <c r="C535" s="142"/>
      <c r="D535" s="142"/>
      <c r="E535" s="142"/>
      <c r="F535" s="79"/>
      <c r="G535" s="79"/>
      <c r="H535" s="79"/>
      <c r="I535" s="67"/>
      <c r="J535" s="85"/>
      <c r="K535" s="3"/>
      <c r="L535" s="3"/>
    </row>
    <row r="536" spans="1:12" s="1" customFormat="1" ht="13.8" x14ac:dyDescent="0.25">
      <c r="A536" s="25"/>
      <c r="B536" s="25"/>
      <c r="C536" s="25"/>
      <c r="D536" s="25"/>
      <c r="E536" s="25"/>
      <c r="F536" s="113"/>
      <c r="G536" s="113"/>
      <c r="H536" s="113"/>
      <c r="I536" s="36"/>
      <c r="J536" s="5"/>
      <c r="K536" s="3"/>
      <c r="L536" s="3"/>
    </row>
    <row r="537" spans="1:12" s="1" customFormat="1" ht="13.2" x14ac:dyDescent="0.25">
      <c r="A537" s="3">
        <v>32</v>
      </c>
      <c r="B537" s="3" t="s">
        <v>140</v>
      </c>
      <c r="C537" s="3"/>
      <c r="D537" s="3"/>
      <c r="E537" s="3"/>
      <c r="F537" s="5">
        <f t="shared" ref="F537:J537" si="86">F538</f>
        <v>566000</v>
      </c>
      <c r="G537" s="5">
        <f t="shared" si="86"/>
        <v>315522.95999999996</v>
      </c>
      <c r="H537" s="5">
        <f t="shared" si="86"/>
        <v>172000</v>
      </c>
      <c r="I537" s="5">
        <f t="shared" si="86"/>
        <v>0</v>
      </c>
      <c r="J537" s="5">
        <f t="shared" si="86"/>
        <v>0</v>
      </c>
      <c r="K537" s="3"/>
      <c r="L537" s="3"/>
    </row>
    <row r="538" spans="1:12" s="3" customFormat="1" ht="13.2" x14ac:dyDescent="0.25">
      <c r="A538" s="3">
        <v>323</v>
      </c>
      <c r="B538" s="3" t="s">
        <v>144</v>
      </c>
      <c r="F538" s="5">
        <f>SUM(F539:F543)</f>
        <v>566000</v>
      </c>
      <c r="G538" s="5">
        <f>SUM(G539:G543)</f>
        <v>315522.95999999996</v>
      </c>
      <c r="H538" s="5">
        <f>SUM(H539:H543)</f>
        <v>172000</v>
      </c>
      <c r="I538" s="5"/>
      <c r="J538" s="5"/>
    </row>
    <row r="539" spans="1:12" s="3" customFormat="1" ht="13.2" x14ac:dyDescent="0.25">
      <c r="A539" s="1">
        <v>3233</v>
      </c>
      <c r="B539" s="1" t="s">
        <v>341</v>
      </c>
      <c r="C539" s="1"/>
      <c r="D539" s="1"/>
      <c r="E539" s="1"/>
      <c r="F539" s="36">
        <v>63000</v>
      </c>
      <c r="G539" s="36">
        <f>16250+10000</f>
        <v>26250</v>
      </c>
      <c r="H539" s="36">
        <v>35000</v>
      </c>
      <c r="I539" s="5"/>
      <c r="J539" s="5"/>
    </row>
    <row r="540" spans="1:12" s="3" customFormat="1" ht="13.2" x14ac:dyDescent="0.25">
      <c r="A540" s="1">
        <v>3237</v>
      </c>
      <c r="B540" s="1" t="s">
        <v>342</v>
      </c>
      <c r="C540" s="1"/>
      <c r="D540" s="1"/>
      <c r="E540" s="1"/>
      <c r="F540" s="36">
        <v>13000</v>
      </c>
      <c r="G540" s="36">
        <v>21250</v>
      </c>
      <c r="H540" s="36"/>
      <c r="I540" s="5"/>
      <c r="J540" s="5"/>
    </row>
    <row r="541" spans="1:12" s="3" customFormat="1" ht="13.2" x14ac:dyDescent="0.25">
      <c r="A541" s="1"/>
      <c r="B541" s="141" t="s">
        <v>343</v>
      </c>
      <c r="C541" s="141"/>
      <c r="D541" s="141"/>
      <c r="E541" s="141"/>
      <c r="F541" s="36"/>
      <c r="G541" s="36"/>
      <c r="H541" s="36">
        <v>30000</v>
      </c>
      <c r="I541" s="5"/>
      <c r="J541" s="5"/>
    </row>
    <row r="542" spans="1:12" s="89" customFormat="1" ht="13.2" x14ac:dyDescent="0.25">
      <c r="A542" s="28">
        <v>3237</v>
      </c>
      <c r="B542" s="28" t="s">
        <v>344</v>
      </c>
      <c r="C542" s="28"/>
      <c r="D542" s="28"/>
      <c r="E542" s="28"/>
      <c r="F542" s="34">
        <v>320000</v>
      </c>
      <c r="G542" s="34">
        <v>156968.46</v>
      </c>
      <c r="H542" s="34">
        <v>80000</v>
      </c>
      <c r="I542" s="26"/>
      <c r="J542" s="26"/>
    </row>
    <row r="543" spans="1:12" s="3" customFormat="1" ht="13.2" x14ac:dyDescent="0.25">
      <c r="A543" s="1">
        <v>3237</v>
      </c>
      <c r="B543" s="1" t="s">
        <v>345</v>
      </c>
      <c r="C543" s="1"/>
      <c r="D543" s="1"/>
      <c r="E543" s="1"/>
      <c r="F543" s="36">
        <v>170000</v>
      </c>
      <c r="G543" s="36">
        <v>111054.5</v>
      </c>
      <c r="H543" s="36">
        <v>27000</v>
      </c>
      <c r="I543" s="5"/>
      <c r="J543" s="5"/>
    </row>
    <row r="544" spans="1:12" s="3" customFormat="1" ht="13.2" x14ac:dyDescent="0.25">
      <c r="A544" s="3">
        <v>42</v>
      </c>
      <c r="B544" s="3" t="s">
        <v>308</v>
      </c>
      <c r="F544" s="5">
        <f>F545</f>
        <v>9434000</v>
      </c>
      <c r="G544" s="5">
        <f>G545</f>
        <v>2206763.5</v>
      </c>
      <c r="H544" s="36"/>
      <c r="I544" s="5"/>
      <c r="J544" s="36"/>
      <c r="K544" s="1"/>
      <c r="L544" s="1"/>
    </row>
    <row r="545" spans="1:12" s="3" customFormat="1" ht="13.2" x14ac:dyDescent="0.25">
      <c r="A545" s="3">
        <v>421</v>
      </c>
      <c r="B545" s="3" t="s">
        <v>309</v>
      </c>
      <c r="F545" s="5">
        <f>F546</f>
        <v>9434000</v>
      </c>
      <c r="G545" s="5">
        <f t="shared" ref="G545" si="87">G546</f>
        <v>2206763.5</v>
      </c>
      <c r="H545" s="36"/>
      <c r="I545" s="5"/>
      <c r="J545" s="36"/>
      <c r="K545" s="1"/>
      <c r="L545" s="1"/>
    </row>
    <row r="546" spans="1:12" s="3" customFormat="1" ht="13.2" x14ac:dyDescent="0.25">
      <c r="A546" s="1">
        <v>4214</v>
      </c>
      <c r="B546" s="1" t="s">
        <v>533</v>
      </c>
      <c r="C546" s="1"/>
      <c r="D546" s="1"/>
      <c r="E546" s="1"/>
      <c r="F546" s="36">
        <v>9434000</v>
      </c>
      <c r="G546" s="36">
        <v>2206763.5</v>
      </c>
      <c r="H546" s="36">
        <f>1000000+600000</f>
        <v>1600000</v>
      </c>
      <c r="I546" s="5"/>
      <c r="J546" s="36"/>
      <c r="K546" s="1"/>
      <c r="L546" s="1"/>
    </row>
    <row r="547" spans="1:12" s="3" customFormat="1" ht="13.2" x14ac:dyDescent="0.25">
      <c r="A547" s="1"/>
      <c r="B547" s="1"/>
      <c r="C547" s="1"/>
      <c r="D547" s="1"/>
      <c r="E547" s="1"/>
      <c r="F547" s="5"/>
      <c r="G547" s="5"/>
      <c r="H547" s="5"/>
      <c r="I547" s="5"/>
      <c r="J547" s="36"/>
      <c r="K547" s="1"/>
      <c r="L547" s="1"/>
    </row>
    <row r="548" spans="1:12" s="1" customFormat="1" ht="13.2" x14ac:dyDescent="0.25">
      <c r="A548" s="151" t="s">
        <v>346</v>
      </c>
      <c r="B548" s="151"/>
      <c r="C548" s="151"/>
      <c r="D548" s="151"/>
      <c r="E548" s="151"/>
      <c r="F548" s="70">
        <f>F553+F551</f>
        <v>37000</v>
      </c>
      <c r="G548" s="70">
        <f>G553+G552</f>
        <v>35753.130000000005</v>
      </c>
      <c r="H548" s="70">
        <f>H553+H551</f>
        <v>15000</v>
      </c>
      <c r="I548" s="70">
        <f t="shared" ref="I548:J548" si="88">I553+I551</f>
        <v>0</v>
      </c>
      <c r="J548" s="70">
        <f t="shared" si="88"/>
        <v>0</v>
      </c>
    </row>
    <row r="549" spans="1:12" s="1" customFormat="1" ht="13.2" x14ac:dyDescent="0.25">
      <c r="A549" s="144" t="s">
        <v>132</v>
      </c>
      <c r="B549" s="144"/>
      <c r="C549" s="144"/>
      <c r="D549" s="144"/>
      <c r="E549" s="144"/>
      <c r="F549" s="67"/>
      <c r="G549" s="67"/>
      <c r="H549" s="67"/>
      <c r="I549" s="67"/>
      <c r="J549" s="85"/>
      <c r="K549" s="3"/>
      <c r="L549" s="3"/>
    </row>
    <row r="550" spans="1:12" s="1" customFormat="1" ht="13.2" x14ac:dyDescent="0.25">
      <c r="A550" s="89"/>
      <c r="B550" s="89"/>
      <c r="C550" s="89"/>
      <c r="D550" s="89"/>
      <c r="E550" s="89"/>
      <c r="F550" s="26"/>
      <c r="G550" s="26"/>
      <c r="H550" s="26"/>
      <c r="I550" s="36"/>
      <c r="J550" s="5"/>
      <c r="K550" s="3"/>
      <c r="L550" s="3"/>
    </row>
    <row r="551" spans="1:12" s="1" customFormat="1" ht="13.2" x14ac:dyDescent="0.25">
      <c r="A551" s="89">
        <v>36</v>
      </c>
      <c r="B551" s="152" t="s">
        <v>245</v>
      </c>
      <c r="C551" s="152"/>
      <c r="D551" s="152"/>
      <c r="E551" s="152"/>
      <c r="F551" s="26">
        <f>F552</f>
        <v>21000</v>
      </c>
      <c r="G551" s="26">
        <f>G552</f>
        <v>20833.13</v>
      </c>
      <c r="H551" s="26">
        <f>H552</f>
        <v>0</v>
      </c>
      <c r="I551" s="26">
        <f t="shared" ref="I551:J551" si="89">I552</f>
        <v>0</v>
      </c>
      <c r="J551" s="26">
        <f t="shared" si="89"/>
        <v>0</v>
      </c>
    </row>
    <row r="552" spans="1:12" s="1" customFormat="1" ht="13.2" x14ac:dyDescent="0.25">
      <c r="A552" s="28">
        <v>3631</v>
      </c>
      <c r="B552" s="153" t="s">
        <v>347</v>
      </c>
      <c r="C552" s="153"/>
      <c r="D552" s="153"/>
      <c r="E552" s="153"/>
      <c r="F552" s="34">
        <v>21000</v>
      </c>
      <c r="G552" s="34">
        <v>20833.13</v>
      </c>
      <c r="H552" s="34"/>
      <c r="I552" s="36"/>
      <c r="J552" s="36"/>
    </row>
    <row r="553" spans="1:12" s="1" customFormat="1" ht="13.8" x14ac:dyDescent="0.25">
      <c r="A553" s="3">
        <v>422</v>
      </c>
      <c r="B553" s="3" t="s">
        <v>255</v>
      </c>
      <c r="C553" s="3"/>
      <c r="D553" s="3"/>
      <c r="E553" s="3"/>
      <c r="F553" s="5">
        <f>SUM(F554:F555)</f>
        <v>16000</v>
      </c>
      <c r="G553" s="5">
        <f>SUM(G554:G555)</f>
        <v>14920</v>
      </c>
      <c r="H553" s="5">
        <f>SUM(H554:H555)</f>
        <v>15000</v>
      </c>
      <c r="I553" s="5"/>
      <c r="J553" s="5"/>
      <c r="K553" s="2"/>
      <c r="L553" s="2"/>
    </row>
    <row r="554" spans="1:12" s="3" customFormat="1" ht="13.2" x14ac:dyDescent="0.25">
      <c r="A554" s="1">
        <v>4223</v>
      </c>
      <c r="B554" s="1" t="s">
        <v>348</v>
      </c>
      <c r="C554" s="1"/>
      <c r="D554" s="1"/>
      <c r="E554" s="1"/>
      <c r="F554" s="36">
        <v>10000</v>
      </c>
      <c r="G554" s="36">
        <v>8000</v>
      </c>
      <c r="H554" s="36">
        <v>10000</v>
      </c>
      <c r="I554" s="5"/>
      <c r="J554" s="5"/>
    </row>
    <row r="555" spans="1:12" s="1" customFormat="1" ht="13.2" x14ac:dyDescent="0.25">
      <c r="A555" s="1">
        <v>4223</v>
      </c>
      <c r="B555" s="1" t="s">
        <v>349</v>
      </c>
      <c r="F555" s="36">
        <v>6000</v>
      </c>
      <c r="G555" s="36">
        <v>6920</v>
      </c>
      <c r="H555" s="36">
        <v>5000</v>
      </c>
      <c r="I555" s="36"/>
      <c r="J555" s="36"/>
    </row>
    <row r="556" spans="1:12" s="1" customFormat="1" x14ac:dyDescent="0.3">
      <c r="A556"/>
      <c r="F556" s="36"/>
      <c r="G556" s="36"/>
      <c r="H556" s="36"/>
      <c r="I556" s="36"/>
      <c r="J556" s="36"/>
    </row>
    <row r="557" spans="1:12" s="2" customFormat="1" ht="13.8" hidden="1" x14ac:dyDescent="0.25">
      <c r="A557" s="68" t="s">
        <v>350</v>
      </c>
      <c r="B557" s="68"/>
      <c r="C557" s="68"/>
      <c r="D557" s="68"/>
      <c r="E557" s="68"/>
      <c r="F557" s="76">
        <f t="shared" ref="F557" si="90">F558</f>
        <v>0</v>
      </c>
      <c r="G557" s="76"/>
      <c r="H557" s="76"/>
      <c r="I557" s="35"/>
      <c r="J557" s="36"/>
      <c r="K557" s="1"/>
      <c r="L557" s="1"/>
    </row>
    <row r="558" spans="1:12" s="3" customFormat="1" ht="13.2" hidden="1" x14ac:dyDescent="0.25">
      <c r="A558" s="3">
        <v>425</v>
      </c>
      <c r="B558" s="3" t="s">
        <v>351</v>
      </c>
      <c r="F558" s="5">
        <f t="shared" ref="F558" si="91">F559+F560</f>
        <v>0</v>
      </c>
      <c r="G558" s="5"/>
      <c r="H558" s="5"/>
      <c r="I558" s="5"/>
      <c r="J558" s="36"/>
      <c r="K558" s="1"/>
      <c r="L558" s="1"/>
    </row>
    <row r="559" spans="1:12" s="1" customFormat="1" hidden="1" x14ac:dyDescent="0.3">
      <c r="A559">
        <v>4251</v>
      </c>
      <c r="B559" s="1" t="s">
        <v>352</v>
      </c>
      <c r="F559" s="36"/>
      <c r="G559" s="36"/>
      <c r="H559" s="36"/>
      <c r="I559" s="36"/>
      <c r="J559" s="36"/>
    </row>
    <row r="560" spans="1:12" s="1" customFormat="1" hidden="1" x14ac:dyDescent="0.3">
      <c r="A560">
        <v>4251</v>
      </c>
      <c r="B560" s="1" t="s">
        <v>353</v>
      </c>
      <c r="F560" s="36"/>
      <c r="G560" s="36"/>
      <c r="H560" s="36"/>
      <c r="I560" s="36"/>
      <c r="J560" s="36"/>
    </row>
    <row r="561" spans="1:10" s="1" customFormat="1" ht="13.8" x14ac:dyDescent="0.25">
      <c r="A561" s="61" t="s">
        <v>354</v>
      </c>
      <c r="B561" s="61"/>
      <c r="C561" s="61"/>
      <c r="D561" s="61"/>
      <c r="E561" s="61"/>
      <c r="F561" s="82">
        <f t="shared" ref="F561:J561" si="92">F563</f>
        <v>71000</v>
      </c>
      <c r="G561" s="82">
        <f t="shared" si="92"/>
        <v>24651.16</v>
      </c>
      <c r="H561" s="82">
        <f>H563</f>
        <v>70000</v>
      </c>
      <c r="I561" s="82">
        <f t="shared" si="92"/>
        <v>70000</v>
      </c>
      <c r="J561" s="82">
        <f t="shared" si="92"/>
        <v>70000</v>
      </c>
    </row>
    <row r="562" spans="1:10" s="1" customFormat="1" ht="13.8" x14ac:dyDescent="0.25">
      <c r="A562" s="63" t="s">
        <v>335</v>
      </c>
      <c r="B562" s="63"/>
      <c r="C562" s="63"/>
      <c r="D562" s="63"/>
      <c r="E562" s="63"/>
      <c r="F562" s="110"/>
      <c r="G562" s="110"/>
      <c r="H562" s="110"/>
      <c r="I562" s="110"/>
      <c r="J562" s="110"/>
    </row>
    <row r="563" spans="1:10" s="1" customFormat="1" ht="13.8" x14ac:dyDescent="0.25">
      <c r="A563" s="68" t="s">
        <v>355</v>
      </c>
      <c r="B563" s="68"/>
      <c r="C563" s="68"/>
      <c r="D563" s="68"/>
      <c r="E563" s="68"/>
      <c r="F563" s="76">
        <f t="shared" ref="F563:J563" si="93">F566</f>
        <v>71000</v>
      </c>
      <c r="G563" s="76">
        <f t="shared" si="93"/>
        <v>24651.16</v>
      </c>
      <c r="H563" s="76">
        <f t="shared" si="93"/>
        <v>70000</v>
      </c>
      <c r="I563" s="76">
        <f t="shared" si="93"/>
        <v>70000</v>
      </c>
      <c r="J563" s="76">
        <f t="shared" si="93"/>
        <v>70000</v>
      </c>
    </row>
    <row r="564" spans="1:10" s="1" customFormat="1" ht="13.8" x14ac:dyDescent="0.25">
      <c r="A564" s="142" t="s">
        <v>132</v>
      </c>
      <c r="B564" s="142"/>
      <c r="C564" s="142"/>
      <c r="D564" s="142"/>
      <c r="E564" s="142"/>
      <c r="F564" s="67"/>
      <c r="G564" s="67"/>
      <c r="H564" s="67"/>
      <c r="I564" s="67"/>
      <c r="J564" s="67"/>
    </row>
    <row r="565" spans="1:10" s="1" customFormat="1" ht="13.8" x14ac:dyDescent="0.25">
      <c r="A565" s="2"/>
      <c r="B565" s="2"/>
      <c r="C565" s="2"/>
      <c r="D565" s="2"/>
      <c r="E565" s="2"/>
      <c r="F565" s="36"/>
      <c r="G565" s="36"/>
      <c r="H565" s="36"/>
      <c r="I565" s="36"/>
      <c r="J565" s="36"/>
    </row>
    <row r="566" spans="1:10" s="1" customFormat="1" ht="13.2" x14ac:dyDescent="0.25">
      <c r="A566" s="3">
        <v>32</v>
      </c>
      <c r="B566" s="3" t="s">
        <v>140</v>
      </c>
      <c r="C566" s="3"/>
      <c r="D566" s="3"/>
      <c r="E566" s="3"/>
      <c r="F566" s="5">
        <f t="shared" ref="F566:H566" si="94">SUM(F568:F572)</f>
        <v>71000</v>
      </c>
      <c r="G566" s="5">
        <f t="shared" si="94"/>
        <v>24651.16</v>
      </c>
      <c r="H566" s="5">
        <f t="shared" si="94"/>
        <v>70000</v>
      </c>
      <c r="I566" s="5">
        <v>70000</v>
      </c>
      <c r="J566" s="5">
        <v>70000</v>
      </c>
    </row>
    <row r="567" spans="1:10" s="1" customFormat="1" ht="13.2" x14ac:dyDescent="0.25">
      <c r="A567" s="3">
        <v>323</v>
      </c>
      <c r="B567" s="3" t="s">
        <v>144</v>
      </c>
      <c r="C567" s="3"/>
      <c r="D567" s="3"/>
      <c r="E567" s="3"/>
      <c r="F567" s="5">
        <f t="shared" ref="F567:G567" si="95">SUM(F568:F572)</f>
        <v>71000</v>
      </c>
      <c r="G567" s="5">
        <f t="shared" si="95"/>
        <v>24651.16</v>
      </c>
      <c r="H567" s="5">
        <f>SUM(H568:H572)</f>
        <v>70000</v>
      </c>
      <c r="I567" s="5"/>
      <c r="J567" s="5"/>
    </row>
    <row r="568" spans="1:10" s="1" customFormat="1" x14ac:dyDescent="0.3">
      <c r="A568">
        <v>3234</v>
      </c>
      <c r="B568" s="1" t="s">
        <v>356</v>
      </c>
      <c r="C568"/>
      <c r="D568"/>
      <c r="E568"/>
      <c r="F568" s="36">
        <v>50000</v>
      </c>
      <c r="G568" s="36">
        <v>14118.75</v>
      </c>
      <c r="H568" s="36">
        <v>40000</v>
      </c>
      <c r="I568" s="36"/>
      <c r="J568" s="36"/>
    </row>
    <row r="569" spans="1:10" s="1" customFormat="1" ht="13.2" x14ac:dyDescent="0.25">
      <c r="A569" s="1">
        <v>3234</v>
      </c>
      <c r="B569" s="1" t="s">
        <v>357</v>
      </c>
      <c r="F569" s="36">
        <v>3000</v>
      </c>
      <c r="G569" s="36">
        <v>882.41</v>
      </c>
      <c r="H569" s="36">
        <v>2000</v>
      </c>
      <c r="I569" s="36"/>
      <c r="J569" s="36"/>
    </row>
    <row r="570" spans="1:10" s="1" customFormat="1" x14ac:dyDescent="0.3">
      <c r="A570">
        <v>3236</v>
      </c>
      <c r="B570" s="1" t="s">
        <v>358</v>
      </c>
      <c r="C570"/>
      <c r="D570"/>
      <c r="E570"/>
      <c r="F570" s="36">
        <v>3000</v>
      </c>
      <c r="G570" s="36">
        <v>900</v>
      </c>
      <c r="H570" s="36">
        <v>3000</v>
      </c>
      <c r="I570" s="36"/>
      <c r="J570" s="36"/>
    </row>
    <row r="571" spans="1:10" s="1" customFormat="1" x14ac:dyDescent="0.3">
      <c r="A571">
        <v>3722</v>
      </c>
      <c r="B571" s="146" t="s">
        <v>359</v>
      </c>
      <c r="C571" s="146"/>
      <c r="D571" s="146"/>
      <c r="E571" s="146"/>
      <c r="F571" s="36"/>
      <c r="G571" s="36"/>
      <c r="H571" s="36">
        <v>10000</v>
      </c>
      <c r="I571" s="36"/>
      <c r="J571" s="36"/>
    </row>
    <row r="572" spans="1:10" s="1" customFormat="1" x14ac:dyDescent="0.3">
      <c r="A572">
        <v>3236</v>
      </c>
      <c r="B572" s="1" t="s">
        <v>360</v>
      </c>
      <c r="C572"/>
      <c r="D572"/>
      <c r="E572"/>
      <c r="F572" s="36">
        <v>15000</v>
      </c>
      <c r="G572" s="36">
        <f>6250+2500</f>
        <v>8750</v>
      </c>
      <c r="H572" s="36">
        <v>15000</v>
      </c>
      <c r="I572" s="36"/>
      <c r="J572" s="36"/>
    </row>
    <row r="573" spans="1:10" s="1" customFormat="1" x14ac:dyDescent="0.3">
      <c r="A573"/>
      <c r="F573" s="36"/>
      <c r="G573" s="36"/>
      <c r="H573" s="36"/>
      <c r="I573" s="36"/>
      <c r="J573" s="36"/>
    </row>
    <row r="574" spans="1:10" s="1" customFormat="1" ht="13.8" x14ac:dyDescent="0.25">
      <c r="A574" s="61" t="s">
        <v>361</v>
      </c>
      <c r="B574" s="61"/>
      <c r="C574" s="61"/>
      <c r="D574" s="61"/>
      <c r="E574" s="61"/>
      <c r="F574" s="82">
        <f>F576+F585</f>
        <v>430000</v>
      </c>
      <c r="G574" s="82">
        <f>G576+G585</f>
        <v>11160</v>
      </c>
      <c r="H574" s="82">
        <f>H576+H585</f>
        <v>17000</v>
      </c>
      <c r="I574" s="82">
        <f t="shared" ref="I574:J574" si="96">I576+I585</f>
        <v>8000</v>
      </c>
      <c r="J574" s="82">
        <f t="shared" si="96"/>
        <v>8000</v>
      </c>
    </row>
    <row r="575" spans="1:10" s="1" customFormat="1" ht="13.8" x14ac:dyDescent="0.25">
      <c r="A575" s="63" t="s">
        <v>284</v>
      </c>
      <c r="B575" s="63"/>
      <c r="C575" s="63"/>
      <c r="D575" s="63"/>
      <c r="E575" s="63"/>
      <c r="F575" s="93"/>
      <c r="G575" s="93"/>
      <c r="H575" s="93"/>
      <c r="I575" s="110"/>
      <c r="J575" s="110"/>
    </row>
    <row r="576" spans="1:10" s="1" customFormat="1" ht="13.8" x14ac:dyDescent="0.25">
      <c r="A576" s="68" t="s">
        <v>362</v>
      </c>
      <c r="B576" s="68"/>
      <c r="C576" s="68"/>
      <c r="D576" s="68"/>
      <c r="E576" s="68"/>
      <c r="F576" s="76">
        <f>F581</f>
        <v>370000</v>
      </c>
      <c r="G576" s="76">
        <f t="shared" ref="G576" si="97">G581</f>
        <v>8460</v>
      </c>
      <c r="H576" s="76">
        <f>H581</f>
        <v>7000</v>
      </c>
      <c r="I576" s="76">
        <f t="shared" ref="I576:J576" si="98">I581</f>
        <v>8000</v>
      </c>
      <c r="J576" s="76">
        <f t="shared" si="98"/>
        <v>8000</v>
      </c>
    </row>
    <row r="577" spans="1:12" s="1" customFormat="1" ht="13.8" x14ac:dyDescent="0.25">
      <c r="A577" s="68"/>
      <c r="B577" s="68" t="s">
        <v>363</v>
      </c>
      <c r="C577" s="68"/>
      <c r="D577" s="68"/>
      <c r="E577" s="68"/>
      <c r="F577" s="94"/>
      <c r="G577" s="94"/>
      <c r="H577" s="94"/>
      <c r="I577" s="99"/>
      <c r="J577" s="99"/>
    </row>
    <row r="578" spans="1:12" s="1" customFormat="1" x14ac:dyDescent="0.3">
      <c r="A578" s="144" t="s">
        <v>132</v>
      </c>
      <c r="B578" s="145"/>
      <c r="C578" s="145"/>
      <c r="D578" s="145"/>
      <c r="E578" s="145"/>
      <c r="F578" s="67"/>
      <c r="G578" s="67"/>
      <c r="H578" s="67"/>
      <c r="I578" s="67"/>
      <c r="J578" s="67"/>
    </row>
    <row r="579" spans="1:12" s="1" customFormat="1" ht="13.2" x14ac:dyDescent="0.25">
      <c r="A579" s="144" t="s">
        <v>163</v>
      </c>
      <c r="B579" s="144"/>
      <c r="C579" s="144"/>
      <c r="D579" s="144"/>
      <c r="E579" s="144"/>
      <c r="F579" s="67"/>
      <c r="G579" s="67"/>
      <c r="H579" s="67"/>
      <c r="I579" s="67"/>
      <c r="J579" s="67"/>
    </row>
    <row r="580" spans="1:12" s="1" customFormat="1" x14ac:dyDescent="0.3">
      <c r="A580"/>
      <c r="F580" s="36"/>
      <c r="G580" s="36"/>
      <c r="H580" s="36"/>
      <c r="I580" s="36"/>
      <c r="J580" s="36"/>
    </row>
    <row r="581" spans="1:12" s="1" customFormat="1" ht="13.2" x14ac:dyDescent="0.25">
      <c r="A581" s="3">
        <v>32</v>
      </c>
      <c r="B581" s="3" t="s">
        <v>140</v>
      </c>
      <c r="C581" s="3"/>
      <c r="D581" s="3"/>
      <c r="E581" s="3"/>
      <c r="F581" s="5">
        <f>F582</f>
        <v>370000</v>
      </c>
      <c r="G581" s="5">
        <f t="shared" ref="G581:H581" si="99">G582</f>
        <v>8460</v>
      </c>
      <c r="H581" s="5">
        <f t="shared" si="99"/>
        <v>7000</v>
      </c>
      <c r="I581" s="5">
        <v>8000</v>
      </c>
      <c r="J581" s="5">
        <v>8000</v>
      </c>
      <c r="K581" s="89"/>
      <c r="L581" s="89"/>
    </row>
    <row r="582" spans="1:12" s="1" customFormat="1" ht="13.2" x14ac:dyDescent="0.25">
      <c r="A582" s="3">
        <v>323</v>
      </c>
      <c r="B582" s="3" t="s">
        <v>144</v>
      </c>
      <c r="C582" s="3"/>
      <c r="D582" s="3"/>
      <c r="E582" s="3"/>
      <c r="F582" s="5">
        <f>SUM(F583:F583)</f>
        <v>370000</v>
      </c>
      <c r="G582" s="5">
        <f>SUM(G583:G583)</f>
        <v>8460</v>
      </c>
      <c r="H582" s="5">
        <f>SUM(H583:H583)</f>
        <v>7000</v>
      </c>
      <c r="I582" s="5"/>
      <c r="J582" s="5"/>
      <c r="K582" s="28"/>
      <c r="L582" s="28"/>
    </row>
    <row r="583" spans="1:12" s="1" customFormat="1" x14ac:dyDescent="0.3">
      <c r="A583">
        <v>3232</v>
      </c>
      <c r="B583" s="1" t="s">
        <v>364</v>
      </c>
      <c r="F583" s="36">
        <v>370000</v>
      </c>
      <c r="G583" s="36">
        <v>8460</v>
      </c>
      <c r="H583" s="36">
        <v>7000</v>
      </c>
      <c r="I583" s="36"/>
      <c r="J583" s="26"/>
      <c r="K583" s="89"/>
      <c r="L583" s="89"/>
    </row>
    <row r="584" spans="1:12" s="1" customFormat="1" x14ac:dyDescent="0.3">
      <c r="A584"/>
      <c r="F584" s="36"/>
      <c r="G584" s="36"/>
      <c r="H584" s="36"/>
      <c r="I584" s="36"/>
      <c r="J584" s="26"/>
      <c r="K584" s="89"/>
      <c r="L584" s="89"/>
    </row>
    <row r="585" spans="1:12" s="89" customFormat="1" ht="13.2" x14ac:dyDescent="0.25">
      <c r="A585" s="143" t="s">
        <v>365</v>
      </c>
      <c r="B585" s="143"/>
      <c r="C585" s="143"/>
      <c r="D585" s="143"/>
      <c r="E585" s="143"/>
      <c r="F585" s="78">
        <f>F588</f>
        <v>60000</v>
      </c>
      <c r="G585" s="78">
        <f>G588</f>
        <v>2700</v>
      </c>
      <c r="H585" s="78">
        <f t="shared" ref="H585:J585" si="100">H588</f>
        <v>10000</v>
      </c>
      <c r="I585" s="78">
        <f t="shared" si="100"/>
        <v>0</v>
      </c>
      <c r="J585" s="78">
        <f t="shared" si="100"/>
        <v>0</v>
      </c>
      <c r="K585" s="28"/>
      <c r="L585" s="28"/>
    </row>
    <row r="586" spans="1:12" s="28" customFormat="1" ht="13.2" x14ac:dyDescent="0.25">
      <c r="A586" s="144" t="s">
        <v>366</v>
      </c>
      <c r="B586" s="144"/>
      <c r="C586" s="144"/>
      <c r="D586" s="144"/>
      <c r="E586" s="144"/>
      <c r="F586" s="67"/>
      <c r="G586" s="67"/>
      <c r="H586" s="67"/>
      <c r="I586" s="67"/>
      <c r="J586" s="67"/>
      <c r="K586" s="1"/>
      <c r="L586" s="1"/>
    </row>
    <row r="587" spans="1:12" s="89" customFormat="1" ht="13.2" x14ac:dyDescent="0.25">
      <c r="A587" s="150"/>
      <c r="B587" s="150"/>
      <c r="C587" s="150"/>
      <c r="D587" s="150"/>
      <c r="E587" s="150"/>
      <c r="F587" s="26"/>
      <c r="G587" s="26"/>
      <c r="H587" s="26"/>
      <c r="I587" s="26"/>
      <c r="J587" s="36"/>
      <c r="K587" s="1"/>
      <c r="L587" s="1"/>
    </row>
    <row r="588" spans="1:12" s="89" customFormat="1" ht="13.2" x14ac:dyDescent="0.25">
      <c r="A588" s="150" t="s">
        <v>367</v>
      </c>
      <c r="B588" s="150"/>
      <c r="C588" s="150"/>
      <c r="D588" s="150"/>
      <c r="E588" s="150"/>
      <c r="F588" s="26">
        <f>F589</f>
        <v>60000</v>
      </c>
      <c r="G588" s="26">
        <f>G589</f>
        <v>2700</v>
      </c>
      <c r="H588" s="26">
        <f t="shared" ref="H588:J589" si="101">H589</f>
        <v>10000</v>
      </c>
      <c r="I588" s="26">
        <f t="shared" si="101"/>
        <v>0</v>
      </c>
      <c r="J588" s="26">
        <f t="shared" si="101"/>
        <v>0</v>
      </c>
      <c r="K588" s="1"/>
      <c r="L588" s="1"/>
    </row>
    <row r="589" spans="1:12" s="89" customFormat="1" ht="13.2" x14ac:dyDescent="0.25">
      <c r="A589" s="150" t="s">
        <v>368</v>
      </c>
      <c r="B589" s="150"/>
      <c r="C589" s="150"/>
      <c r="D589" s="150"/>
      <c r="E589" s="150"/>
      <c r="F589" s="26">
        <f>F590</f>
        <v>60000</v>
      </c>
      <c r="G589" s="26">
        <f>G590</f>
        <v>2700</v>
      </c>
      <c r="H589" s="26">
        <f t="shared" si="101"/>
        <v>10000</v>
      </c>
      <c r="I589" s="26"/>
      <c r="J589" s="26"/>
      <c r="K589" s="1"/>
      <c r="L589" s="1"/>
    </row>
    <row r="590" spans="1:12" s="28" customFormat="1" ht="13.2" x14ac:dyDescent="0.25">
      <c r="A590" s="126">
        <v>3232</v>
      </c>
      <c r="B590" s="126" t="s">
        <v>369</v>
      </c>
      <c r="C590" s="126"/>
      <c r="D590" s="126"/>
      <c r="E590" s="126"/>
      <c r="F590" s="34">
        <v>60000</v>
      </c>
      <c r="G590" s="34">
        <v>2700</v>
      </c>
      <c r="H590" s="34">
        <v>10000</v>
      </c>
      <c r="I590" s="34"/>
      <c r="J590" s="36"/>
      <c r="K590" s="1"/>
      <c r="L590" s="1"/>
    </row>
    <row r="591" spans="1:12" s="1" customFormat="1" x14ac:dyDescent="0.3">
      <c r="A591"/>
      <c r="F591" s="36"/>
      <c r="G591" s="36"/>
      <c r="H591" s="36"/>
      <c r="I591" s="36"/>
      <c r="J591" s="36"/>
    </row>
    <row r="592" spans="1:12" s="1" customFormat="1" ht="13.8" x14ac:dyDescent="0.25">
      <c r="A592" s="61" t="s">
        <v>370</v>
      </c>
      <c r="B592" s="61"/>
      <c r="C592" s="61"/>
      <c r="D592" s="61"/>
      <c r="E592" s="61"/>
      <c r="F592" s="82">
        <f>F594+F602</f>
        <v>1429000</v>
      </c>
      <c r="G592" s="82">
        <f>G594+G602</f>
        <v>13785.4</v>
      </c>
      <c r="H592" s="82">
        <f>H594+H602</f>
        <v>725000</v>
      </c>
      <c r="I592" s="82">
        <f t="shared" ref="I592:J592" si="102">I594+I602</f>
        <v>4830000</v>
      </c>
      <c r="J592" s="82">
        <f t="shared" si="102"/>
        <v>10040000</v>
      </c>
    </row>
    <row r="593" spans="1:12" s="1" customFormat="1" ht="13.8" x14ac:dyDescent="0.25">
      <c r="A593" s="63" t="s">
        <v>371</v>
      </c>
      <c r="B593" s="63"/>
      <c r="C593" s="63"/>
      <c r="D593" s="63"/>
      <c r="E593" s="63"/>
      <c r="F593" s="93"/>
      <c r="G593" s="93"/>
      <c r="H593" s="93"/>
      <c r="I593" s="110"/>
      <c r="J593" s="110"/>
    </row>
    <row r="594" spans="1:12" s="1" customFormat="1" ht="13.8" x14ac:dyDescent="0.25">
      <c r="A594" s="147" t="s">
        <v>372</v>
      </c>
      <c r="B594" s="147"/>
      <c r="C594" s="147"/>
      <c r="D594" s="147"/>
      <c r="E594" s="147"/>
      <c r="F594" s="76">
        <f t="shared" ref="F594:J594" si="103">F597</f>
        <v>400000</v>
      </c>
      <c r="G594" s="76">
        <f t="shared" si="103"/>
        <v>0</v>
      </c>
      <c r="H594" s="76">
        <f t="shared" si="103"/>
        <v>500000</v>
      </c>
      <c r="I594" s="76">
        <f t="shared" si="103"/>
        <v>0</v>
      </c>
      <c r="J594" s="76">
        <f t="shared" si="103"/>
        <v>0</v>
      </c>
    </row>
    <row r="595" spans="1:12" s="1" customFormat="1" x14ac:dyDescent="0.3">
      <c r="A595" s="144" t="s">
        <v>163</v>
      </c>
      <c r="B595" s="145"/>
      <c r="C595" s="145"/>
      <c r="D595" s="145"/>
      <c r="E595" s="145"/>
      <c r="F595" s="67"/>
      <c r="G595" s="67"/>
      <c r="H595" s="67"/>
      <c r="I595" s="67"/>
      <c r="J595" s="67"/>
    </row>
    <row r="596" spans="1:12" s="1" customFormat="1" x14ac:dyDescent="0.3">
      <c r="A596"/>
      <c r="F596" s="36"/>
      <c r="G596" s="36"/>
      <c r="H596" s="36"/>
      <c r="I596" s="36"/>
      <c r="J596" s="36"/>
    </row>
    <row r="597" spans="1:12" s="1" customFormat="1" ht="13.2" x14ac:dyDescent="0.25">
      <c r="A597" s="3">
        <v>42</v>
      </c>
      <c r="B597" s="3" t="s">
        <v>373</v>
      </c>
      <c r="C597" s="3"/>
      <c r="D597" s="3"/>
      <c r="E597" s="3"/>
      <c r="F597" s="5">
        <f t="shared" ref="F597:H597" si="104">F598</f>
        <v>400000</v>
      </c>
      <c r="G597" s="5">
        <f t="shared" si="104"/>
        <v>0</v>
      </c>
      <c r="H597" s="5">
        <f t="shared" si="104"/>
        <v>500000</v>
      </c>
      <c r="I597" s="5"/>
      <c r="J597" s="5"/>
    </row>
    <row r="598" spans="1:12" s="1" customFormat="1" ht="13.2" x14ac:dyDescent="0.25">
      <c r="A598" s="3">
        <v>421</v>
      </c>
      <c r="B598" s="3" t="s">
        <v>309</v>
      </c>
      <c r="C598" s="3"/>
      <c r="D598" s="3"/>
      <c r="E598" s="3"/>
      <c r="F598" s="5">
        <f t="shared" ref="F598:H598" si="105">SUM(F599:F600)</f>
        <v>400000</v>
      </c>
      <c r="G598" s="5">
        <f t="shared" si="105"/>
        <v>0</v>
      </c>
      <c r="H598" s="5">
        <f t="shared" si="105"/>
        <v>500000</v>
      </c>
      <c r="I598" s="5"/>
      <c r="J598" s="5"/>
    </row>
    <row r="599" spans="1:12" s="1" customFormat="1" x14ac:dyDescent="0.3">
      <c r="A599">
        <v>4214</v>
      </c>
      <c r="B599" s="1" t="s">
        <v>374</v>
      </c>
      <c r="F599" s="36">
        <v>400000</v>
      </c>
      <c r="G599" s="36"/>
      <c r="H599" s="36">
        <v>500000</v>
      </c>
      <c r="I599" s="36"/>
      <c r="J599" s="36"/>
    </row>
    <row r="600" spans="1:12" s="1" customFormat="1" x14ac:dyDescent="0.3">
      <c r="A600"/>
      <c r="F600" s="36"/>
      <c r="G600" s="36"/>
      <c r="H600" s="36"/>
      <c r="I600" s="36"/>
      <c r="J600" s="36"/>
    </row>
    <row r="601" spans="1:12" s="1" customFormat="1" ht="13.8" x14ac:dyDescent="0.25">
      <c r="A601" s="68" t="s">
        <v>375</v>
      </c>
      <c r="B601" s="114"/>
      <c r="C601" s="114"/>
      <c r="D601" s="114"/>
      <c r="E601" s="114"/>
      <c r="F601" s="115"/>
      <c r="G601" s="115"/>
      <c r="H601" s="115"/>
      <c r="I601" s="99"/>
      <c r="J601" s="78"/>
      <c r="K601" s="3"/>
      <c r="L601" s="3"/>
    </row>
    <row r="602" spans="1:12" s="1" customFormat="1" ht="13.8" x14ac:dyDescent="0.25">
      <c r="A602" s="68"/>
      <c r="B602" s="68" t="s">
        <v>376</v>
      </c>
      <c r="C602" s="68"/>
      <c r="D602" s="114"/>
      <c r="E602" s="114"/>
      <c r="F602" s="70">
        <f>F606+F614+F616</f>
        <v>1029000</v>
      </c>
      <c r="G602" s="70">
        <f>G606+G614+G616</f>
        <v>13785.4</v>
      </c>
      <c r="H602" s="70">
        <f>H606+H616</f>
        <v>225000</v>
      </c>
      <c r="I602" s="70">
        <f>I606+I614+I616+I608+I609</f>
        <v>4830000</v>
      </c>
      <c r="J602" s="70">
        <f>J606+J614+J616+J609</f>
        <v>10040000</v>
      </c>
      <c r="K602" s="3"/>
      <c r="L602" s="3"/>
    </row>
    <row r="603" spans="1:12" s="1" customFormat="1" ht="13.8" x14ac:dyDescent="0.25">
      <c r="A603" s="142" t="s">
        <v>163</v>
      </c>
      <c r="B603" s="142"/>
      <c r="C603" s="142"/>
      <c r="D603" s="142"/>
      <c r="E603" s="142"/>
      <c r="F603" s="67"/>
      <c r="G603" s="67"/>
      <c r="H603" s="67"/>
      <c r="I603" s="67"/>
      <c r="J603" s="67"/>
    </row>
    <row r="604" spans="1:12" s="1" customFormat="1" ht="13.8" x14ac:dyDescent="0.25">
      <c r="A604" s="142" t="s">
        <v>377</v>
      </c>
      <c r="B604" s="142"/>
      <c r="C604" s="142"/>
      <c r="D604" s="142"/>
      <c r="E604" s="142"/>
      <c r="F604" s="67"/>
      <c r="G604" s="67"/>
      <c r="H604" s="67"/>
      <c r="I604" s="67"/>
      <c r="J604" s="67"/>
    </row>
    <row r="605" spans="1:12" s="1" customFormat="1" ht="13.8" x14ac:dyDescent="0.25">
      <c r="A605" s="25"/>
      <c r="B605" s="25"/>
      <c r="C605" s="25"/>
      <c r="D605" s="28"/>
      <c r="E605" s="28"/>
      <c r="F605" s="34"/>
      <c r="G605" s="34"/>
      <c r="H605" s="34"/>
      <c r="I605" s="36"/>
      <c r="J605" s="36"/>
    </row>
    <row r="606" spans="1:12" s="3" customFormat="1" ht="13.2" x14ac:dyDescent="0.25">
      <c r="A606" s="3">
        <v>45</v>
      </c>
      <c r="B606" s="3" t="s">
        <v>378</v>
      </c>
      <c r="F606" s="5">
        <f t="shared" ref="F606:H606" si="106">F607</f>
        <v>985000</v>
      </c>
      <c r="G606" s="5">
        <f t="shared" si="106"/>
        <v>13785.4</v>
      </c>
      <c r="H606" s="5">
        <f t="shared" si="106"/>
        <v>215000</v>
      </c>
      <c r="I606" s="5"/>
      <c r="J606" s="5"/>
      <c r="K606" s="1"/>
      <c r="L606" s="1"/>
    </row>
    <row r="607" spans="1:12" s="3" customFormat="1" ht="13.2" x14ac:dyDescent="0.25">
      <c r="A607" s="3">
        <v>451</v>
      </c>
      <c r="B607" s="3" t="s">
        <v>379</v>
      </c>
      <c r="F607" s="5">
        <f>SUM(F608:F612)</f>
        <v>985000</v>
      </c>
      <c r="G607" s="5">
        <f>SUM(G608:G612)</f>
        <v>13785.4</v>
      </c>
      <c r="H607" s="5">
        <f>SUM(H608:H612)</f>
        <v>215000</v>
      </c>
      <c r="I607" s="5"/>
      <c r="J607" s="5"/>
      <c r="K607" s="1"/>
      <c r="L607" s="1"/>
    </row>
    <row r="608" spans="1:12" s="1" customFormat="1" ht="13.2" x14ac:dyDescent="0.25">
      <c r="A608" s="1">
        <v>4511</v>
      </c>
      <c r="B608" s="1" t="s">
        <v>380</v>
      </c>
      <c r="F608" s="36">
        <v>600000</v>
      </c>
      <c r="G608" s="36">
        <v>8400</v>
      </c>
      <c r="H608" s="36"/>
      <c r="I608" s="36"/>
      <c r="J608" s="5"/>
      <c r="K608" s="3"/>
      <c r="L608" s="3"/>
    </row>
    <row r="609" spans="1:12" s="1" customFormat="1" ht="13.2" x14ac:dyDescent="0.25">
      <c r="A609" s="141" t="s">
        <v>381</v>
      </c>
      <c r="B609" s="141"/>
      <c r="C609" s="141"/>
      <c r="D609" s="141"/>
      <c r="E609" s="141"/>
      <c r="F609" s="36"/>
      <c r="G609" s="36"/>
      <c r="H609" s="36"/>
      <c r="I609" s="36">
        <f>100000+250000+180000+300000+200000+2500000+200000+1000000+100000</f>
        <v>4830000</v>
      </c>
      <c r="J609" s="5">
        <f>70000+150000+120000+3000000+1500000+800000+2000000+100000+300000+500000+1000000+500000</f>
        <v>10040000</v>
      </c>
      <c r="K609" s="3"/>
      <c r="L609" s="3"/>
    </row>
    <row r="610" spans="1:12" s="1" customFormat="1" ht="13.2" x14ac:dyDescent="0.25">
      <c r="A610" s="1">
        <v>4511</v>
      </c>
      <c r="B610" s="141" t="s">
        <v>382</v>
      </c>
      <c r="C610" s="141"/>
      <c r="D610" s="141"/>
      <c r="E610" s="141"/>
      <c r="F610" s="36">
        <v>320000</v>
      </c>
      <c r="G610" s="36"/>
      <c r="H610" s="36">
        <v>150000</v>
      </c>
      <c r="I610" s="36"/>
      <c r="J610" s="5"/>
      <c r="K610" s="3"/>
      <c r="L610" s="3"/>
    </row>
    <row r="611" spans="1:12" s="1" customFormat="1" ht="13.2" x14ac:dyDescent="0.25">
      <c r="A611" s="1">
        <v>4511</v>
      </c>
      <c r="B611" s="1" t="s">
        <v>383</v>
      </c>
      <c r="F611" s="36">
        <v>40000</v>
      </c>
      <c r="G611" s="36"/>
      <c r="H611" s="36">
        <v>40000</v>
      </c>
      <c r="I611" s="36"/>
      <c r="J611" s="5"/>
      <c r="K611" s="3"/>
      <c r="L611" s="3"/>
    </row>
    <row r="612" spans="1:12" s="1" customFormat="1" ht="13.2" x14ac:dyDescent="0.25">
      <c r="A612" s="1">
        <v>4511</v>
      </c>
      <c r="B612" s="1" t="s">
        <v>384</v>
      </c>
      <c r="F612" s="36">
        <v>25000</v>
      </c>
      <c r="G612" s="36">
        <v>5385.4</v>
      </c>
      <c r="H612" s="36">
        <v>25000</v>
      </c>
      <c r="I612" s="36"/>
      <c r="J612" s="5"/>
      <c r="K612" s="3"/>
      <c r="L612" s="3"/>
    </row>
    <row r="613" spans="1:12" s="1" customFormat="1" ht="13.2" x14ac:dyDescent="0.25">
      <c r="F613" s="36"/>
      <c r="G613" s="36"/>
      <c r="H613" s="36"/>
      <c r="I613" s="36"/>
      <c r="J613" s="5"/>
      <c r="K613" s="3"/>
      <c r="L613" s="3"/>
    </row>
    <row r="614" spans="1:12" s="3" customFormat="1" ht="13.2" x14ac:dyDescent="0.25">
      <c r="A614" s="3">
        <v>32</v>
      </c>
      <c r="B614" s="140" t="s">
        <v>140</v>
      </c>
      <c r="C614" s="140"/>
      <c r="D614" s="140"/>
      <c r="E614" s="140"/>
      <c r="F614" s="5">
        <f>F615</f>
        <v>14000</v>
      </c>
      <c r="G614" s="5">
        <f>G615</f>
        <v>0</v>
      </c>
      <c r="H614" s="5"/>
      <c r="I614" s="5"/>
      <c r="J614" s="5">
        <f t="shared" ref="J614" si="107">J615+J616</f>
        <v>0</v>
      </c>
    </row>
    <row r="615" spans="1:12" s="3" customFormat="1" ht="13.2" x14ac:dyDescent="0.25">
      <c r="A615" s="1">
        <v>3232</v>
      </c>
      <c r="B615" s="141" t="s">
        <v>385</v>
      </c>
      <c r="C615" s="141"/>
      <c r="D615" s="141"/>
      <c r="E615" s="141"/>
      <c r="F615" s="5">
        <v>14000</v>
      </c>
      <c r="G615" s="36"/>
      <c r="H615" s="36"/>
      <c r="I615" s="5"/>
      <c r="J615" s="36"/>
      <c r="K615" s="1"/>
      <c r="L615" s="1"/>
    </row>
    <row r="616" spans="1:12" s="3" customFormat="1" ht="13.2" x14ac:dyDescent="0.25">
      <c r="A616" s="3">
        <v>42</v>
      </c>
      <c r="B616" s="140" t="s">
        <v>386</v>
      </c>
      <c r="C616" s="140"/>
      <c r="D616" s="140"/>
      <c r="E616" s="140"/>
      <c r="F616" s="5">
        <f>F617</f>
        <v>30000</v>
      </c>
      <c r="G616" s="5"/>
      <c r="H616" s="5">
        <f>H617</f>
        <v>10000</v>
      </c>
      <c r="I616" s="5"/>
      <c r="J616" s="36"/>
      <c r="K616" s="1"/>
      <c r="L616" s="1"/>
    </row>
    <row r="617" spans="1:12" s="3" customFormat="1" ht="13.2" x14ac:dyDescent="0.25">
      <c r="A617" s="1">
        <v>422</v>
      </c>
      <c r="B617" s="141" t="s">
        <v>387</v>
      </c>
      <c r="C617" s="141"/>
      <c r="D617" s="141"/>
      <c r="E617" s="141"/>
      <c r="F617" s="5">
        <v>30000</v>
      </c>
      <c r="G617" s="36"/>
      <c r="H617" s="36">
        <v>10000</v>
      </c>
      <c r="I617" s="5"/>
      <c r="J617" s="36"/>
      <c r="K617" s="1"/>
      <c r="L617" s="1"/>
    </row>
    <row r="618" spans="1:12" s="3" customFormat="1" ht="13.2" x14ac:dyDescent="0.25">
      <c r="A618" s="1"/>
      <c r="B618" s="1"/>
      <c r="C618" s="1"/>
      <c r="D618" s="1"/>
      <c r="E618" s="1"/>
      <c r="F618" s="5"/>
      <c r="G618" s="5"/>
      <c r="H618" s="5"/>
      <c r="I618" s="5"/>
      <c r="J618" s="36"/>
      <c r="K618" s="1"/>
      <c r="L618" s="1"/>
    </row>
    <row r="619" spans="1:12" s="3" customFormat="1" ht="13.8" x14ac:dyDescent="0.25">
      <c r="A619" s="59" t="s">
        <v>388</v>
      </c>
      <c r="B619" s="59"/>
      <c r="C619" s="59"/>
      <c r="D619" s="59"/>
      <c r="E619" s="59"/>
      <c r="F619" s="60">
        <f>F620+F680+F690+F699</f>
        <v>1323000</v>
      </c>
      <c r="G619" s="60">
        <f>G620+G680+G690+G699</f>
        <v>963616.48</v>
      </c>
      <c r="H619" s="60">
        <f>H620+H680+H690+H699</f>
        <v>1369235</v>
      </c>
      <c r="I619" s="60">
        <f>I620+I680+I690+I699</f>
        <v>1351000</v>
      </c>
      <c r="J619" s="60">
        <f>J620+J680+J690+J699</f>
        <v>1356500</v>
      </c>
      <c r="K619" s="1"/>
      <c r="L619" s="1"/>
    </row>
    <row r="620" spans="1:12" s="1" customFormat="1" ht="13.8" x14ac:dyDescent="0.25">
      <c r="A620" s="61" t="s">
        <v>389</v>
      </c>
      <c r="B620" s="61"/>
      <c r="C620" s="61"/>
      <c r="D620" s="61"/>
      <c r="E620" s="61"/>
      <c r="F620" s="62">
        <f>F622</f>
        <v>1221000</v>
      </c>
      <c r="G620" s="62">
        <f t="shared" ref="G620" si="108">G622</f>
        <v>911056.07</v>
      </c>
      <c r="H620" s="62">
        <f>H622</f>
        <v>1244235</v>
      </c>
      <c r="I620" s="62">
        <f t="shared" ref="I620:J620" si="109">I622</f>
        <v>1226000</v>
      </c>
      <c r="J620" s="62">
        <f t="shared" si="109"/>
        <v>1231500</v>
      </c>
    </row>
    <row r="621" spans="1:12" s="1" customFormat="1" x14ac:dyDescent="0.3">
      <c r="A621" s="63" t="s">
        <v>390</v>
      </c>
      <c r="B621" s="63"/>
      <c r="C621" s="63"/>
      <c r="D621" s="63"/>
      <c r="E621" s="63"/>
      <c r="F621" s="64"/>
      <c r="G621" s="64"/>
      <c r="H621" s="64"/>
      <c r="I621" s="110"/>
      <c r="J621" s="110"/>
    </row>
    <row r="622" spans="1:12" s="1" customFormat="1" x14ac:dyDescent="0.3">
      <c r="A622" s="68" t="s">
        <v>391</v>
      </c>
      <c r="B622" s="69"/>
      <c r="C622" s="69"/>
      <c r="D622" s="69"/>
      <c r="E622" s="69"/>
      <c r="F622" s="70">
        <f>F627+F634+F669+F674</f>
        <v>1221000</v>
      </c>
      <c r="G622" s="70">
        <f>G627+G634+G669+G674</f>
        <v>911056.07</v>
      </c>
      <c r="H622" s="70">
        <f>H627+H634+H669+H674</f>
        <v>1244235</v>
      </c>
      <c r="I622" s="70">
        <f>I627+I634+I669+I674</f>
        <v>1226000</v>
      </c>
      <c r="J622" s="70">
        <f>J627+J634+J669+J674</f>
        <v>1231500</v>
      </c>
    </row>
    <row r="623" spans="1:12" s="1" customFormat="1" x14ac:dyDescent="0.3">
      <c r="A623" s="116" t="s">
        <v>392</v>
      </c>
      <c r="B623" s="117"/>
      <c r="C623" s="117"/>
      <c r="D623" s="117"/>
      <c r="E623" s="117"/>
      <c r="F623" s="118"/>
      <c r="G623" s="118"/>
      <c r="H623" s="118"/>
      <c r="I623" s="119"/>
      <c r="J623" s="119"/>
      <c r="L623" s="1">
        <f>1244235-800-220000</f>
        <v>1023435</v>
      </c>
    </row>
    <row r="624" spans="1:12" s="1" customFormat="1" x14ac:dyDescent="0.3">
      <c r="A624" s="149" t="s">
        <v>132</v>
      </c>
      <c r="B624" s="149"/>
      <c r="C624" s="149"/>
      <c r="D624" s="149"/>
      <c r="E624" s="149"/>
      <c r="F624" s="80"/>
      <c r="G624" s="80"/>
      <c r="H624" s="80"/>
      <c r="I624" s="67"/>
      <c r="J624" s="67"/>
    </row>
    <row r="625" spans="1:12" s="1" customFormat="1" x14ac:dyDescent="0.3">
      <c r="A625" s="149" t="s">
        <v>393</v>
      </c>
      <c r="B625" s="149"/>
      <c r="C625" s="149"/>
      <c r="D625" s="149"/>
      <c r="E625" s="149"/>
      <c r="F625" s="80"/>
      <c r="G625" s="80"/>
      <c r="H625" s="80"/>
      <c r="I625" s="67"/>
      <c r="J625" s="67"/>
    </row>
    <row r="626" spans="1:12" s="1" customFormat="1" x14ac:dyDescent="0.3">
      <c r="A626" s="25"/>
      <c r="B626" s="27"/>
      <c r="C626" s="27"/>
      <c r="D626" s="27"/>
      <c r="E626" s="27"/>
      <c r="F626" s="40"/>
      <c r="G626" s="40"/>
      <c r="H626" s="40"/>
      <c r="I626" s="36"/>
      <c r="J626" s="36"/>
    </row>
    <row r="627" spans="1:12" s="1" customFormat="1" ht="13.2" x14ac:dyDescent="0.25">
      <c r="A627" s="3">
        <v>31</v>
      </c>
      <c r="B627" s="3" t="s">
        <v>134</v>
      </c>
      <c r="C627" s="3"/>
      <c r="D627" s="3"/>
      <c r="E627" s="3"/>
      <c r="F627" s="5">
        <f>F628+F630+F632</f>
        <v>910000</v>
      </c>
      <c r="G627" s="5">
        <f>G628+G630+G632</f>
        <v>707339.95</v>
      </c>
      <c r="H627" s="5">
        <f>H628+H630+H632</f>
        <v>955185</v>
      </c>
      <c r="I627" s="5">
        <v>960000</v>
      </c>
      <c r="J627" s="5">
        <v>960000</v>
      </c>
    </row>
    <row r="628" spans="1:12" s="1" customFormat="1" x14ac:dyDescent="0.3">
      <c r="A628" s="3">
        <v>311</v>
      </c>
      <c r="B628" s="3" t="s">
        <v>177</v>
      </c>
      <c r="C628" s="3"/>
      <c r="D628" s="3"/>
      <c r="E628" s="3"/>
      <c r="F628" s="5">
        <f t="shared" ref="F628:H628" si="110">F629</f>
        <v>758000</v>
      </c>
      <c r="G628" s="5">
        <f t="shared" si="110"/>
        <v>597026.24</v>
      </c>
      <c r="H628" s="5">
        <f t="shared" si="110"/>
        <v>789000</v>
      </c>
      <c r="I628" s="5"/>
      <c r="J628" s="5"/>
      <c r="K628"/>
      <c r="L628"/>
    </row>
    <row r="629" spans="1:12" s="1" customFormat="1" x14ac:dyDescent="0.3">
      <c r="A629">
        <v>3111</v>
      </c>
      <c r="B629" t="s">
        <v>394</v>
      </c>
      <c r="C629"/>
      <c r="D629"/>
      <c r="E629"/>
      <c r="F629" s="36">
        <v>758000</v>
      </c>
      <c r="G629" s="36">
        <v>597026.24</v>
      </c>
      <c r="H629" s="36">
        <v>789000</v>
      </c>
      <c r="I629" s="36"/>
      <c r="J629" s="10"/>
      <c r="K629"/>
      <c r="L629"/>
    </row>
    <row r="630" spans="1:12" s="1" customFormat="1" x14ac:dyDescent="0.3">
      <c r="A630" s="3">
        <v>312</v>
      </c>
      <c r="B630" s="3" t="s">
        <v>182</v>
      </c>
      <c r="C630" s="3"/>
      <c r="D630" s="3"/>
      <c r="E630" s="3"/>
      <c r="F630" s="5">
        <f>F631</f>
        <v>27000</v>
      </c>
      <c r="G630" s="5">
        <f>G631</f>
        <v>11734.57</v>
      </c>
      <c r="H630" s="5">
        <f>H631</f>
        <v>36000</v>
      </c>
      <c r="I630" s="5"/>
      <c r="J630" s="5"/>
      <c r="K630"/>
      <c r="L630"/>
    </row>
    <row r="631" spans="1:12" s="1" customFormat="1" x14ac:dyDescent="0.3">
      <c r="A631">
        <v>3121</v>
      </c>
      <c r="B631" s="1" t="s">
        <v>395</v>
      </c>
      <c r="C631"/>
      <c r="D631"/>
      <c r="E631"/>
      <c r="F631" s="36">
        <v>27000</v>
      </c>
      <c r="G631" s="36">
        <v>11734.57</v>
      </c>
      <c r="H631" s="36">
        <f>3000*12</f>
        <v>36000</v>
      </c>
      <c r="I631" s="36"/>
      <c r="J631" s="10"/>
      <c r="K631"/>
      <c r="L631"/>
    </row>
    <row r="632" spans="1:12" x14ac:dyDescent="0.3">
      <c r="A632" s="3">
        <v>313</v>
      </c>
      <c r="B632" s="3" t="s">
        <v>138</v>
      </c>
      <c r="C632" s="3"/>
      <c r="D632" s="3"/>
      <c r="E632" s="3"/>
      <c r="F632" s="5">
        <f>F633</f>
        <v>125000</v>
      </c>
      <c r="G632" s="5">
        <f>G633</f>
        <v>98579.14</v>
      </c>
      <c r="H632" s="5">
        <f>H633</f>
        <v>130185</v>
      </c>
      <c r="I632" s="5"/>
      <c r="J632" s="5"/>
    </row>
    <row r="633" spans="1:12" x14ac:dyDescent="0.3">
      <c r="A633">
        <v>3132</v>
      </c>
      <c r="B633" t="s">
        <v>139</v>
      </c>
      <c r="F633" s="36">
        <v>125000</v>
      </c>
      <c r="G633" s="36">
        <v>98579.14</v>
      </c>
      <c r="H633" s="36">
        <f>H629*16.5/100</f>
        <v>130185</v>
      </c>
      <c r="I633" s="10"/>
      <c r="J633" s="10"/>
    </row>
    <row r="634" spans="1:12" x14ac:dyDescent="0.3">
      <c r="A634" s="3">
        <v>32</v>
      </c>
      <c r="B634" s="3" t="s">
        <v>140</v>
      </c>
      <c r="C634" s="3"/>
      <c r="D634" s="3"/>
      <c r="E634" s="3"/>
      <c r="F634" s="5">
        <f>F635+F639+F649+F664</f>
        <v>285000</v>
      </c>
      <c r="G634" s="5">
        <f>G635+G639+G649+G664</f>
        <v>192819.98</v>
      </c>
      <c r="H634" s="5">
        <f>H635+H639+H649+H664</f>
        <v>255400</v>
      </c>
      <c r="I634" s="5">
        <v>260000</v>
      </c>
      <c r="J634" s="5">
        <v>265000</v>
      </c>
    </row>
    <row r="635" spans="1:12" x14ac:dyDescent="0.3">
      <c r="A635" s="3">
        <v>321</v>
      </c>
      <c r="B635" s="3" t="s">
        <v>141</v>
      </c>
      <c r="C635" s="3"/>
      <c r="D635" s="3"/>
      <c r="E635" s="3"/>
      <c r="F635" s="5">
        <f>SUM(F636:F638)</f>
        <v>60000</v>
      </c>
      <c r="G635" s="5">
        <f t="shared" ref="G635" si="111">SUM(G636:G638)</f>
        <v>36016.400000000001</v>
      </c>
      <c r="H635" s="5">
        <f>SUM(H636:H638)</f>
        <v>40800</v>
      </c>
      <c r="I635" s="5"/>
      <c r="J635" s="5"/>
    </row>
    <row r="636" spans="1:12" x14ac:dyDescent="0.3">
      <c r="A636" s="1">
        <v>3211</v>
      </c>
      <c r="B636" s="1" t="s">
        <v>142</v>
      </c>
      <c r="C636" s="1"/>
      <c r="D636" s="1"/>
      <c r="E636" s="1"/>
      <c r="F636" s="10">
        <v>5000</v>
      </c>
      <c r="G636" s="10">
        <f>624+628.4</f>
        <v>1252.4000000000001</v>
      </c>
      <c r="H636" s="10">
        <f>2000+2000</f>
        <v>4000</v>
      </c>
      <c r="I636" s="10"/>
      <c r="J636" s="10"/>
    </row>
    <row r="637" spans="1:12" x14ac:dyDescent="0.3">
      <c r="A637" s="1">
        <v>3212</v>
      </c>
      <c r="B637" s="1" t="s">
        <v>396</v>
      </c>
      <c r="C637" s="1"/>
      <c r="D637" s="1"/>
      <c r="E637" s="1"/>
      <c r="F637" s="10">
        <v>52000</v>
      </c>
      <c r="G637" s="10">
        <v>33504</v>
      </c>
      <c r="H637" s="10">
        <v>33800</v>
      </c>
      <c r="I637" s="10"/>
      <c r="J637" s="10"/>
    </row>
    <row r="638" spans="1:12" x14ac:dyDescent="0.3">
      <c r="A638">
        <v>3213</v>
      </c>
      <c r="B638" t="s">
        <v>143</v>
      </c>
      <c r="F638" s="10">
        <v>3000</v>
      </c>
      <c r="G638" s="10">
        <v>1260</v>
      </c>
      <c r="H638" s="10">
        <v>3000</v>
      </c>
      <c r="I638" s="10"/>
      <c r="J638" s="10"/>
    </row>
    <row r="639" spans="1:12" x14ac:dyDescent="0.3">
      <c r="A639" s="3">
        <v>322</v>
      </c>
      <c r="B639" s="3" t="s">
        <v>190</v>
      </c>
      <c r="C639" s="3"/>
      <c r="D639" s="3"/>
      <c r="E639" s="3"/>
      <c r="F639" s="5">
        <f>SUM(F640:F648)</f>
        <v>155600</v>
      </c>
      <c r="G639" s="5">
        <f>SUM(G640:G648)</f>
        <v>109975.52</v>
      </c>
      <c r="H639" s="5">
        <f>SUM(H640:H648)</f>
        <v>152300</v>
      </c>
      <c r="I639" s="5"/>
      <c r="J639" s="5"/>
    </row>
    <row r="640" spans="1:12" x14ac:dyDescent="0.3">
      <c r="A640" s="1">
        <v>3221</v>
      </c>
      <c r="B640" s="1" t="s">
        <v>397</v>
      </c>
      <c r="C640" s="1"/>
      <c r="D640" s="1"/>
      <c r="E640" s="1"/>
      <c r="F640" s="10">
        <v>29600</v>
      </c>
      <c r="G640" s="10">
        <v>22346.53</v>
      </c>
      <c r="H640" s="10">
        <f>4000+800+6000+4000+3000</f>
        <v>17800</v>
      </c>
      <c r="I640" s="10"/>
      <c r="J640" s="10"/>
    </row>
    <row r="641" spans="1:10" x14ac:dyDescent="0.3">
      <c r="A641" s="1">
        <v>3222</v>
      </c>
      <c r="B641" s="1" t="s">
        <v>398</v>
      </c>
      <c r="C641" s="1"/>
      <c r="D641" s="1"/>
      <c r="E641" s="1"/>
      <c r="F641" s="10">
        <v>70000</v>
      </c>
      <c r="G641" s="10">
        <v>52273.03</v>
      </c>
      <c r="H641" s="10">
        <v>70000</v>
      </c>
      <c r="I641" s="10"/>
      <c r="J641" s="10"/>
    </row>
    <row r="642" spans="1:10" x14ac:dyDescent="0.3">
      <c r="A642" s="1">
        <v>3223</v>
      </c>
      <c r="B642" s="1" t="s">
        <v>197</v>
      </c>
      <c r="C642" s="1"/>
      <c r="D642" s="1"/>
      <c r="E642" s="1"/>
      <c r="F642" s="10">
        <v>10000</v>
      </c>
      <c r="G642" s="10">
        <f>1737.41+5695.73</f>
        <v>7433.1399999999994</v>
      </c>
      <c r="H642" s="10">
        <v>9000</v>
      </c>
      <c r="I642" s="10"/>
      <c r="J642" s="10"/>
    </row>
    <row r="643" spans="1:10" x14ac:dyDescent="0.3">
      <c r="A643" s="1">
        <v>3224</v>
      </c>
      <c r="B643" s="141" t="s">
        <v>399</v>
      </c>
      <c r="C643" s="141"/>
      <c r="D643" s="141"/>
      <c r="E643" s="141"/>
      <c r="H643" s="10">
        <v>5000</v>
      </c>
      <c r="I643" s="10"/>
      <c r="J643" s="10"/>
    </row>
    <row r="644" spans="1:10" x14ac:dyDescent="0.3">
      <c r="A644" s="1"/>
      <c r="B644" s="141" t="s">
        <v>400</v>
      </c>
      <c r="C644" s="141"/>
      <c r="D644" s="141"/>
      <c r="E644" s="141"/>
      <c r="H644" s="10">
        <v>2000</v>
      </c>
      <c r="I644" s="10"/>
      <c r="J644" s="10"/>
    </row>
    <row r="645" spans="1:10" x14ac:dyDescent="0.3">
      <c r="A645">
        <v>3223</v>
      </c>
      <c r="B645" s="1" t="s">
        <v>198</v>
      </c>
      <c r="F645" s="10">
        <v>37000</v>
      </c>
      <c r="G645" s="10">
        <f>22513.36+685.09+3026.15</f>
        <v>26224.600000000002</v>
      </c>
      <c r="H645" s="10">
        <v>39000</v>
      </c>
      <c r="I645" s="10"/>
      <c r="J645" s="10"/>
    </row>
    <row r="646" spans="1:10" x14ac:dyDescent="0.3">
      <c r="A646">
        <v>3225</v>
      </c>
      <c r="B646" s="141" t="s">
        <v>401</v>
      </c>
      <c r="C646" s="141"/>
      <c r="D646" s="141"/>
      <c r="H646" s="10">
        <v>3000</v>
      </c>
      <c r="I646" s="10"/>
      <c r="J646" s="10"/>
    </row>
    <row r="647" spans="1:10" x14ac:dyDescent="0.3">
      <c r="B647" s="141" t="s">
        <v>402</v>
      </c>
      <c r="C647" s="141"/>
      <c r="D647" s="141"/>
      <c r="E647" s="141"/>
      <c r="H647" s="10">
        <v>4500</v>
      </c>
      <c r="I647" s="10"/>
      <c r="J647" s="10"/>
    </row>
    <row r="648" spans="1:10" x14ac:dyDescent="0.3">
      <c r="A648">
        <v>3225</v>
      </c>
      <c r="B648" s="1" t="s">
        <v>199</v>
      </c>
      <c r="F648" s="10">
        <v>9000</v>
      </c>
      <c r="G648" s="10">
        <v>1698.22</v>
      </c>
      <c r="H648" s="10">
        <v>2000</v>
      </c>
      <c r="I648" s="10"/>
      <c r="J648" s="10"/>
    </row>
    <row r="649" spans="1:10" x14ac:dyDescent="0.3">
      <c r="A649" s="3">
        <v>323</v>
      </c>
      <c r="B649" s="3" t="s">
        <v>144</v>
      </c>
      <c r="C649" s="3"/>
      <c r="D649" s="3"/>
      <c r="E649" s="3"/>
      <c r="F649" s="5">
        <f>SUM(F650:F663)</f>
        <v>59900</v>
      </c>
      <c r="G649" s="5">
        <f>SUM(G650:G663)</f>
        <v>37372.249999999993</v>
      </c>
      <c r="H649" s="5">
        <f>SUM(H650:H663)</f>
        <v>47800</v>
      </c>
      <c r="I649" s="5"/>
      <c r="J649" s="5"/>
    </row>
    <row r="650" spans="1:10" x14ac:dyDescent="0.3">
      <c r="A650">
        <v>3231</v>
      </c>
      <c r="B650" s="1" t="s">
        <v>403</v>
      </c>
      <c r="F650" s="10">
        <v>4500</v>
      </c>
      <c r="G650" s="10">
        <f>2141.19+800</f>
        <v>2941.19</v>
      </c>
      <c r="I650" s="10"/>
      <c r="J650" s="10"/>
    </row>
    <row r="651" spans="1:10" x14ac:dyDescent="0.3">
      <c r="B651" s="141" t="s">
        <v>404</v>
      </c>
      <c r="C651" s="141"/>
      <c r="D651" s="141"/>
      <c r="E651" s="141"/>
      <c r="H651" s="10">
        <v>2800</v>
      </c>
      <c r="I651" s="10"/>
      <c r="J651" s="10"/>
    </row>
    <row r="652" spans="1:10" x14ac:dyDescent="0.3">
      <c r="B652" s="141" t="s">
        <v>405</v>
      </c>
      <c r="C652" s="141"/>
      <c r="D652" s="141"/>
      <c r="E652" s="141"/>
      <c r="H652" s="10">
        <v>800</v>
      </c>
      <c r="I652" s="10"/>
      <c r="J652" s="10"/>
    </row>
    <row r="653" spans="1:10" x14ac:dyDescent="0.3">
      <c r="A653">
        <v>3232</v>
      </c>
      <c r="B653" t="s">
        <v>168</v>
      </c>
      <c r="F653" s="10">
        <v>25000</v>
      </c>
      <c r="G653" s="10">
        <v>12484.13</v>
      </c>
      <c r="H653" s="10">
        <f>4000+5000</f>
        <v>9000</v>
      </c>
      <c r="I653" s="10"/>
      <c r="J653" s="10"/>
    </row>
    <row r="654" spans="1:10" x14ac:dyDescent="0.3">
      <c r="B654" s="141" t="s">
        <v>228</v>
      </c>
      <c r="C654" s="148"/>
      <c r="D654" s="148"/>
      <c r="E654" s="148"/>
      <c r="H654" s="10">
        <v>5000</v>
      </c>
      <c r="I654" s="10"/>
      <c r="J654" s="10"/>
    </row>
    <row r="655" spans="1:10" x14ac:dyDescent="0.3">
      <c r="A655">
        <v>3234</v>
      </c>
      <c r="B655" s="1" t="s">
        <v>406</v>
      </c>
      <c r="F655" s="10">
        <v>13000</v>
      </c>
      <c r="G655" s="10">
        <v>8897.6299999999992</v>
      </c>
      <c r="H655" s="10">
        <v>10000</v>
      </c>
      <c r="I655" s="10"/>
      <c r="J655" s="10"/>
    </row>
    <row r="656" spans="1:10" x14ac:dyDescent="0.3">
      <c r="B656" s="141" t="s">
        <v>407</v>
      </c>
      <c r="C656" s="141"/>
      <c r="D656" s="141"/>
      <c r="E656" s="141"/>
      <c r="H656" s="10">
        <v>1700</v>
      </c>
      <c r="I656" s="10"/>
      <c r="J656" s="10"/>
    </row>
    <row r="657" spans="1:10" x14ac:dyDescent="0.3">
      <c r="B657" s="141" t="s">
        <v>408</v>
      </c>
      <c r="C657" s="141"/>
      <c r="D657" s="141"/>
      <c r="E657" s="141"/>
      <c r="H657" s="10">
        <v>500</v>
      </c>
      <c r="I657" s="10"/>
      <c r="J657" s="10"/>
    </row>
    <row r="658" spans="1:10" x14ac:dyDescent="0.3">
      <c r="A658">
        <v>3236</v>
      </c>
      <c r="B658" s="1" t="s">
        <v>409</v>
      </c>
      <c r="F658" s="10">
        <v>9700</v>
      </c>
      <c r="G658" s="10">
        <v>8544.6</v>
      </c>
      <c r="H658" s="10">
        <v>3700</v>
      </c>
      <c r="I658" s="10"/>
      <c r="J658" s="10"/>
    </row>
    <row r="659" spans="1:10" x14ac:dyDescent="0.3">
      <c r="B659" s="141" t="s">
        <v>410</v>
      </c>
      <c r="C659" s="141"/>
      <c r="D659" s="141"/>
      <c r="E659" s="141"/>
      <c r="H659" s="10">
        <v>5000</v>
      </c>
      <c r="I659" s="10"/>
      <c r="J659" s="10"/>
    </row>
    <row r="660" spans="1:10" x14ac:dyDescent="0.3">
      <c r="B660" s="141" t="s">
        <v>411</v>
      </c>
      <c r="C660" s="141"/>
      <c r="D660" s="141"/>
      <c r="E660" s="141"/>
      <c r="H660" s="10">
        <v>500</v>
      </c>
      <c r="I660" s="10"/>
      <c r="J660" s="10"/>
    </row>
    <row r="661" spans="1:10" x14ac:dyDescent="0.3">
      <c r="A661">
        <v>3237</v>
      </c>
      <c r="B661" s="1" t="s">
        <v>412</v>
      </c>
      <c r="F661" s="10">
        <v>4700</v>
      </c>
      <c r="G661" s="10">
        <f>4400+104.7</f>
        <v>4504.7</v>
      </c>
      <c r="H661" s="10">
        <v>5500</v>
      </c>
      <c r="I661" s="10"/>
      <c r="J661" s="10"/>
    </row>
    <row r="662" spans="1:10" x14ac:dyDescent="0.3">
      <c r="B662" s="141" t="s">
        <v>413</v>
      </c>
      <c r="C662" s="141"/>
      <c r="D662" s="141"/>
      <c r="E662" s="141"/>
      <c r="H662" s="10">
        <v>300</v>
      </c>
      <c r="I662" s="10"/>
      <c r="J662" s="10"/>
    </row>
    <row r="663" spans="1:10" x14ac:dyDescent="0.3">
      <c r="A663">
        <v>3237</v>
      </c>
      <c r="B663" s="1" t="s">
        <v>414</v>
      </c>
      <c r="F663" s="10">
        <v>3000</v>
      </c>
      <c r="H663" s="10">
        <v>3000</v>
      </c>
      <c r="I663" s="10"/>
      <c r="J663" s="10"/>
    </row>
    <row r="664" spans="1:10" x14ac:dyDescent="0.3">
      <c r="A664" s="3">
        <v>329</v>
      </c>
      <c r="B664" s="3" t="s">
        <v>415</v>
      </c>
      <c r="C664" s="3"/>
      <c r="D664" s="3"/>
      <c r="E664" s="3"/>
      <c r="F664" s="5">
        <f t="shared" ref="F664:G664" si="112">SUM(F665:F668)</f>
        <v>9500</v>
      </c>
      <c r="G664" s="5">
        <f t="shared" si="112"/>
        <v>9455.81</v>
      </c>
      <c r="H664" s="5">
        <f>SUM(H665:H668)</f>
        <v>14500</v>
      </c>
      <c r="I664" s="5"/>
      <c r="J664" s="5"/>
    </row>
    <row r="665" spans="1:10" x14ac:dyDescent="0.3">
      <c r="A665">
        <v>3291</v>
      </c>
      <c r="B665" s="1" t="s">
        <v>416</v>
      </c>
      <c r="F665" s="10">
        <v>8500</v>
      </c>
      <c r="G665" s="10">
        <v>8886.91</v>
      </c>
      <c r="H665" s="10">
        <v>11000</v>
      </c>
      <c r="I665" s="10"/>
      <c r="J665" s="10"/>
    </row>
    <row r="666" spans="1:10" x14ac:dyDescent="0.3">
      <c r="B666" s="141" t="s">
        <v>417</v>
      </c>
      <c r="C666" s="141"/>
      <c r="D666" s="141"/>
      <c r="E666" s="141"/>
      <c r="H666" s="10">
        <v>1000</v>
      </c>
      <c r="I666" s="10"/>
      <c r="J666" s="10"/>
    </row>
    <row r="667" spans="1:10" x14ac:dyDescent="0.3">
      <c r="B667" s="141" t="s">
        <v>418</v>
      </c>
      <c r="C667" s="141"/>
      <c r="D667" s="141"/>
      <c r="E667" s="141"/>
      <c r="H667" s="10">
        <v>1500</v>
      </c>
      <c r="I667" s="10"/>
      <c r="J667" s="10"/>
    </row>
    <row r="668" spans="1:10" x14ac:dyDescent="0.3">
      <c r="A668">
        <v>3293</v>
      </c>
      <c r="B668" s="1" t="s">
        <v>150</v>
      </c>
      <c r="F668" s="10">
        <v>1000</v>
      </c>
      <c r="G668" s="10">
        <v>568.9</v>
      </c>
      <c r="H668" s="10">
        <v>1000</v>
      </c>
      <c r="I668" s="10"/>
      <c r="J668" s="10"/>
    </row>
    <row r="669" spans="1:10" x14ac:dyDescent="0.3">
      <c r="A669" s="3">
        <v>34</v>
      </c>
      <c r="B669" s="3" t="s">
        <v>237</v>
      </c>
      <c r="C669" s="3"/>
      <c r="D669" s="3"/>
      <c r="E669" s="3"/>
      <c r="F669" s="5">
        <f t="shared" ref="F669:H669" si="113">F670</f>
        <v>6000</v>
      </c>
      <c r="G669" s="5">
        <f t="shared" si="113"/>
        <v>4504.6399999999994</v>
      </c>
      <c r="H669" s="5">
        <f t="shared" si="113"/>
        <v>5650</v>
      </c>
      <c r="I669" s="5">
        <v>6000</v>
      </c>
      <c r="J669" s="5">
        <v>6500</v>
      </c>
    </row>
    <row r="670" spans="1:10" x14ac:dyDescent="0.3">
      <c r="A670" s="3">
        <v>343</v>
      </c>
      <c r="B670" s="3" t="s">
        <v>238</v>
      </c>
      <c r="C670" s="3"/>
      <c r="D670" s="3"/>
      <c r="E670" s="3"/>
      <c r="F670" s="5">
        <f>F671+F672</f>
        <v>6000</v>
      </c>
      <c r="G670" s="5">
        <f>G671+G672</f>
        <v>4504.6399999999994</v>
      </c>
      <c r="H670" s="5">
        <f>H671+H672</f>
        <v>5650</v>
      </c>
      <c r="I670" s="5"/>
      <c r="J670" s="5"/>
    </row>
    <row r="671" spans="1:10" x14ac:dyDescent="0.3">
      <c r="A671">
        <v>3431</v>
      </c>
      <c r="B671" s="1" t="s">
        <v>239</v>
      </c>
      <c r="F671" s="36">
        <v>5000</v>
      </c>
      <c r="G671" s="36">
        <v>4455.45</v>
      </c>
      <c r="H671" s="36">
        <f>4800+750</f>
        <v>5550</v>
      </c>
      <c r="I671" s="10"/>
      <c r="J671" s="10"/>
    </row>
    <row r="672" spans="1:10" x14ac:dyDescent="0.3">
      <c r="A672">
        <v>3434</v>
      </c>
      <c r="B672" s="1" t="s">
        <v>419</v>
      </c>
      <c r="F672" s="36">
        <v>1000</v>
      </c>
      <c r="G672" s="36">
        <f>14.19+35</f>
        <v>49.19</v>
      </c>
      <c r="H672" s="36">
        <v>100</v>
      </c>
      <c r="I672" s="10"/>
      <c r="J672" s="10"/>
    </row>
    <row r="673" spans="1:12" x14ac:dyDescent="0.3">
      <c r="B673" s="1"/>
      <c r="F673" s="5"/>
      <c r="G673" s="5"/>
      <c r="H673" s="36"/>
      <c r="I673" s="10"/>
      <c r="J673" s="10"/>
    </row>
    <row r="674" spans="1:12" x14ac:dyDescent="0.3">
      <c r="A674" s="3">
        <v>4</v>
      </c>
      <c r="B674" s="3" t="s">
        <v>420</v>
      </c>
      <c r="C674" s="3"/>
      <c r="D674" s="3"/>
      <c r="E674" s="3"/>
      <c r="F674" s="5">
        <f>F675</f>
        <v>20000</v>
      </c>
      <c r="G674" s="5">
        <f>G675</f>
        <v>6391.5</v>
      </c>
      <c r="H674" s="5">
        <f>H675</f>
        <v>28000</v>
      </c>
      <c r="I674" s="5">
        <f t="shared" ref="I674:J674" si="114">I675</f>
        <v>0</v>
      </c>
      <c r="J674" s="5">
        <f t="shared" si="114"/>
        <v>0</v>
      </c>
    </row>
    <row r="675" spans="1:12" x14ac:dyDescent="0.3">
      <c r="A675" s="3">
        <v>42</v>
      </c>
      <c r="B675" s="3" t="s">
        <v>421</v>
      </c>
      <c r="C675" s="3"/>
      <c r="D675" s="3"/>
      <c r="E675" s="3"/>
      <c r="F675" s="5">
        <f t="shared" ref="F675:H676" si="115">F676</f>
        <v>20000</v>
      </c>
      <c r="G675" s="5">
        <f t="shared" si="115"/>
        <v>6391.5</v>
      </c>
      <c r="H675" s="5">
        <f t="shared" si="115"/>
        <v>28000</v>
      </c>
      <c r="I675" s="5"/>
      <c r="J675" s="5"/>
    </row>
    <row r="676" spans="1:12" x14ac:dyDescent="0.3">
      <c r="A676" s="3">
        <v>422</v>
      </c>
      <c r="B676" s="3" t="s">
        <v>255</v>
      </c>
      <c r="C676" s="3"/>
      <c r="D676" s="3"/>
      <c r="E676" s="3"/>
      <c r="F676" s="5">
        <f t="shared" si="115"/>
        <v>20000</v>
      </c>
      <c r="G676" s="5">
        <f>G677</f>
        <v>6391.5</v>
      </c>
      <c r="H676" s="5">
        <f>H677+H678</f>
        <v>28000</v>
      </c>
      <c r="I676" s="5"/>
      <c r="J676" s="5"/>
    </row>
    <row r="677" spans="1:12" x14ac:dyDescent="0.3">
      <c r="A677">
        <v>4221</v>
      </c>
      <c r="B677" s="1" t="s">
        <v>422</v>
      </c>
      <c r="F677" s="36">
        <v>20000</v>
      </c>
      <c r="G677" s="36">
        <f>6391.5</f>
        <v>6391.5</v>
      </c>
      <c r="H677" s="34">
        <f>7000+20000</f>
        <v>27000</v>
      </c>
      <c r="I677" s="10"/>
      <c r="J677" s="10"/>
      <c r="K677" s="28"/>
    </row>
    <row r="678" spans="1:12" x14ac:dyDescent="0.3">
      <c r="B678" s="141" t="s">
        <v>423</v>
      </c>
      <c r="C678" s="141"/>
      <c r="D678" s="141"/>
      <c r="E678" s="141"/>
      <c r="F678" s="36"/>
      <c r="G678" s="36"/>
      <c r="H678" s="34">
        <v>1000</v>
      </c>
      <c r="I678" s="10"/>
      <c r="J678" s="10"/>
      <c r="K678" s="28"/>
    </row>
    <row r="679" spans="1:12" s="1" customFormat="1" x14ac:dyDescent="0.3">
      <c r="F679" s="36"/>
      <c r="G679" s="36"/>
      <c r="H679" s="36"/>
      <c r="I679" s="36"/>
      <c r="J679" s="10"/>
      <c r="K679"/>
      <c r="L679"/>
    </row>
    <row r="680" spans="1:12" x14ac:dyDescent="0.3">
      <c r="A680" s="61" t="s">
        <v>424</v>
      </c>
      <c r="B680" s="61"/>
      <c r="C680" s="61"/>
      <c r="D680" s="61"/>
      <c r="E680" s="61"/>
      <c r="F680" s="62">
        <f t="shared" ref="F680:J680" si="116">F682</f>
        <v>27000</v>
      </c>
      <c r="G680" s="62">
        <f t="shared" si="116"/>
        <v>3810.41</v>
      </c>
      <c r="H680" s="62">
        <f>H682</f>
        <v>30000</v>
      </c>
      <c r="I680" s="62">
        <f t="shared" si="116"/>
        <v>30000</v>
      </c>
      <c r="J680" s="62">
        <f t="shared" si="116"/>
        <v>30000</v>
      </c>
    </row>
    <row r="681" spans="1:12" x14ac:dyDescent="0.3">
      <c r="A681" s="63" t="s">
        <v>425</v>
      </c>
      <c r="B681" s="63"/>
      <c r="C681" s="63"/>
      <c r="D681" s="63"/>
      <c r="E681" s="63"/>
      <c r="F681" s="64"/>
      <c r="G681" s="64"/>
      <c r="H681" s="64"/>
      <c r="I681" s="64"/>
      <c r="J681" s="64"/>
    </row>
    <row r="682" spans="1:12" x14ac:dyDescent="0.3">
      <c r="A682" s="147" t="s">
        <v>426</v>
      </c>
      <c r="B682" s="147"/>
      <c r="C682" s="147"/>
      <c r="D682" s="147"/>
      <c r="E682" s="147"/>
      <c r="F682" s="70">
        <f t="shared" ref="F682:J682" si="117">F685</f>
        <v>27000</v>
      </c>
      <c r="G682" s="70">
        <f t="shared" si="117"/>
        <v>3810.41</v>
      </c>
      <c r="H682" s="70">
        <f t="shared" si="117"/>
        <v>30000</v>
      </c>
      <c r="I682" s="70">
        <f t="shared" si="117"/>
        <v>30000</v>
      </c>
      <c r="J682" s="70">
        <f t="shared" si="117"/>
        <v>30000</v>
      </c>
    </row>
    <row r="683" spans="1:12" x14ac:dyDescent="0.3">
      <c r="A683" s="142" t="s">
        <v>427</v>
      </c>
      <c r="B683" s="142"/>
      <c r="C683" s="142"/>
      <c r="D683" s="142"/>
      <c r="E683" s="142"/>
      <c r="F683" s="80"/>
      <c r="G683" s="80"/>
      <c r="H683" s="80"/>
      <c r="I683" s="80"/>
      <c r="J683" s="80"/>
    </row>
    <row r="684" spans="1:12" x14ac:dyDescent="0.3">
      <c r="A684" s="2"/>
      <c r="I684" s="10"/>
      <c r="J684" s="10"/>
    </row>
    <row r="685" spans="1:12" x14ac:dyDescent="0.3">
      <c r="A685" s="3">
        <v>36</v>
      </c>
      <c r="B685" s="3" t="s">
        <v>275</v>
      </c>
      <c r="C685" s="3"/>
      <c r="D685" s="3"/>
      <c r="E685" s="3"/>
      <c r="F685" s="5">
        <f t="shared" ref="F685:H685" si="118">F686</f>
        <v>27000</v>
      </c>
      <c r="G685" s="5">
        <f t="shared" si="118"/>
        <v>3810.41</v>
      </c>
      <c r="H685" s="5">
        <f t="shared" si="118"/>
        <v>30000</v>
      </c>
      <c r="I685" s="5">
        <v>30000</v>
      </c>
      <c r="J685" s="5">
        <v>30000</v>
      </c>
      <c r="K685" s="1"/>
      <c r="L685" s="1"/>
    </row>
    <row r="686" spans="1:12" x14ac:dyDescent="0.3">
      <c r="A686" s="3">
        <v>363</v>
      </c>
      <c r="B686" s="3" t="s">
        <v>275</v>
      </c>
      <c r="C686" s="3"/>
      <c r="D686" s="3"/>
      <c r="E686" s="3"/>
      <c r="F686" s="5">
        <f>SUM(F687:F688)</f>
        <v>27000</v>
      </c>
      <c r="G686" s="5">
        <f>SUM(G687:G688)</f>
        <v>3810.41</v>
      </c>
      <c r="H686" s="5">
        <f>SUM(H687:H688)</f>
        <v>30000</v>
      </c>
      <c r="I686" s="5"/>
      <c r="J686" s="5"/>
    </row>
    <row r="687" spans="1:12" x14ac:dyDescent="0.3">
      <c r="A687">
        <v>3631</v>
      </c>
      <c r="B687" s="1" t="s">
        <v>428</v>
      </c>
      <c r="F687" s="10">
        <v>25000</v>
      </c>
      <c r="G687" s="10">
        <v>3810.41</v>
      </c>
      <c r="H687" s="10">
        <v>30000</v>
      </c>
      <c r="I687" s="10"/>
      <c r="J687" s="10"/>
    </row>
    <row r="688" spans="1:12" x14ac:dyDescent="0.3">
      <c r="A688" s="1">
        <v>3631</v>
      </c>
      <c r="B688" s="1" t="s">
        <v>429</v>
      </c>
      <c r="C688" s="1"/>
      <c r="D688" s="1"/>
      <c r="F688" s="10">
        <v>2000</v>
      </c>
      <c r="I688" s="10"/>
      <c r="J688" s="10"/>
    </row>
    <row r="689" spans="1:12" s="1" customFormat="1" x14ac:dyDescent="0.3">
      <c r="E689"/>
      <c r="F689" s="36"/>
      <c r="G689" s="36"/>
      <c r="H689" s="10"/>
      <c r="I689" s="36"/>
      <c r="J689" s="10"/>
      <c r="K689"/>
      <c r="L689"/>
    </row>
    <row r="690" spans="1:12" x14ac:dyDescent="0.3">
      <c r="A690" s="61" t="s">
        <v>430</v>
      </c>
      <c r="B690" s="61"/>
      <c r="C690" s="61"/>
      <c r="D690" s="61"/>
      <c r="E690" s="61"/>
      <c r="F690" s="62">
        <f t="shared" ref="F690:J690" si="119">F692</f>
        <v>25000</v>
      </c>
      <c r="G690" s="62">
        <f t="shared" si="119"/>
        <v>17250</v>
      </c>
      <c r="H690" s="62">
        <f>H692</f>
        <v>35000</v>
      </c>
      <c r="I690" s="62">
        <f t="shared" si="119"/>
        <v>35000</v>
      </c>
      <c r="J690" s="62">
        <f t="shared" si="119"/>
        <v>35000</v>
      </c>
    </row>
    <row r="691" spans="1:12" x14ac:dyDescent="0.3">
      <c r="A691" s="63" t="s">
        <v>431</v>
      </c>
      <c r="B691" s="63"/>
      <c r="C691" s="63"/>
      <c r="D691" s="63"/>
      <c r="E691" s="63"/>
      <c r="F691" s="64"/>
      <c r="G691" s="64"/>
      <c r="H691" s="64"/>
      <c r="I691" s="64"/>
      <c r="J691" s="64"/>
    </row>
    <row r="692" spans="1:12" x14ac:dyDescent="0.3">
      <c r="A692" s="147" t="s">
        <v>432</v>
      </c>
      <c r="B692" s="147"/>
      <c r="C692" s="147"/>
      <c r="D692" s="147"/>
      <c r="E692" s="147"/>
      <c r="F692" s="70">
        <f t="shared" ref="F692:J692" si="120">F695</f>
        <v>25000</v>
      </c>
      <c r="G692" s="70">
        <f t="shared" si="120"/>
        <v>17250</v>
      </c>
      <c r="H692" s="70">
        <f t="shared" si="120"/>
        <v>35000</v>
      </c>
      <c r="I692" s="70">
        <f t="shared" si="120"/>
        <v>35000</v>
      </c>
      <c r="J692" s="70">
        <f t="shared" si="120"/>
        <v>35000</v>
      </c>
      <c r="K692" s="27"/>
    </row>
    <row r="693" spans="1:12" x14ac:dyDescent="0.3">
      <c r="A693" s="142" t="s">
        <v>132</v>
      </c>
      <c r="B693" s="142"/>
      <c r="C693" s="142"/>
      <c r="D693" s="142"/>
      <c r="E693" s="142"/>
      <c r="F693" s="80"/>
      <c r="G693" s="80"/>
      <c r="H693" s="80"/>
      <c r="I693" s="80"/>
      <c r="J693" s="80"/>
    </row>
    <row r="694" spans="1:12" x14ac:dyDescent="0.3">
      <c r="A694" s="2"/>
      <c r="I694" s="10"/>
      <c r="J694" s="10"/>
    </row>
    <row r="695" spans="1:12" x14ac:dyDescent="0.3">
      <c r="A695" s="3">
        <v>37</v>
      </c>
      <c r="B695" s="3" t="s">
        <v>433</v>
      </c>
      <c r="C695" s="3"/>
      <c r="D695" s="3"/>
      <c r="E695" s="3"/>
      <c r="F695" s="5">
        <f t="shared" ref="F695:H696" si="121">F696</f>
        <v>25000</v>
      </c>
      <c r="G695" s="5">
        <f t="shared" si="121"/>
        <v>17250</v>
      </c>
      <c r="H695" s="5">
        <f t="shared" si="121"/>
        <v>35000</v>
      </c>
      <c r="I695" s="5">
        <v>35000</v>
      </c>
      <c r="J695" s="5">
        <v>35000</v>
      </c>
      <c r="K695" s="1"/>
      <c r="L695" s="1"/>
    </row>
    <row r="696" spans="1:12" x14ac:dyDescent="0.3">
      <c r="A696" s="3">
        <v>372</v>
      </c>
      <c r="B696" s="3" t="s">
        <v>433</v>
      </c>
      <c r="C696" s="3"/>
      <c r="D696" s="3"/>
      <c r="E696" s="3"/>
      <c r="F696" s="5">
        <f t="shared" si="121"/>
        <v>25000</v>
      </c>
      <c r="G696" s="5">
        <f t="shared" si="121"/>
        <v>17250</v>
      </c>
      <c r="H696" s="5">
        <f t="shared" si="121"/>
        <v>35000</v>
      </c>
      <c r="I696" s="5"/>
      <c r="J696" s="5"/>
    </row>
    <row r="697" spans="1:12" x14ac:dyDescent="0.3">
      <c r="A697">
        <v>3721</v>
      </c>
      <c r="B697" t="s">
        <v>434</v>
      </c>
      <c r="F697" s="10">
        <v>25000</v>
      </c>
      <c r="G697" s="10">
        <v>17250</v>
      </c>
      <c r="H697" s="10">
        <v>35000</v>
      </c>
      <c r="I697" s="10"/>
      <c r="J697" s="10"/>
      <c r="K697" t="s">
        <v>435</v>
      </c>
    </row>
    <row r="698" spans="1:12" x14ac:dyDescent="0.3">
      <c r="I698" s="10"/>
      <c r="J698" s="10"/>
    </row>
    <row r="699" spans="1:12" x14ac:dyDescent="0.3">
      <c r="A699" s="61" t="s">
        <v>436</v>
      </c>
      <c r="B699" s="61"/>
      <c r="C699" s="61"/>
      <c r="D699" s="61"/>
      <c r="E699" s="61"/>
      <c r="F699" s="62">
        <f t="shared" ref="F699:J699" si="122">F701</f>
        <v>50000</v>
      </c>
      <c r="G699" s="62">
        <f t="shared" si="122"/>
        <v>31500</v>
      </c>
      <c r="H699" s="62">
        <f>H701</f>
        <v>60000</v>
      </c>
      <c r="I699" s="62">
        <f t="shared" si="122"/>
        <v>60000</v>
      </c>
      <c r="J699" s="62">
        <f t="shared" si="122"/>
        <v>60000</v>
      </c>
    </row>
    <row r="700" spans="1:12" s="1" customFormat="1" x14ac:dyDescent="0.3">
      <c r="A700" s="63" t="s">
        <v>437</v>
      </c>
      <c r="B700" s="63"/>
      <c r="C700" s="63"/>
      <c r="D700" s="63"/>
      <c r="E700" s="63"/>
      <c r="F700" s="64"/>
      <c r="G700" s="64"/>
      <c r="H700" s="64"/>
      <c r="I700" s="110"/>
      <c r="J700" s="64"/>
      <c r="K700"/>
      <c r="L700"/>
    </row>
    <row r="701" spans="1:12" x14ac:dyDescent="0.3">
      <c r="A701" s="68" t="s">
        <v>438</v>
      </c>
      <c r="B701" s="69"/>
      <c r="C701" s="69"/>
      <c r="D701" s="69"/>
      <c r="E701" s="69"/>
      <c r="F701" s="70">
        <f t="shared" ref="F701:J701" si="123">F704</f>
        <v>50000</v>
      </c>
      <c r="G701" s="70">
        <f t="shared" si="123"/>
        <v>31500</v>
      </c>
      <c r="H701" s="70">
        <f t="shared" si="123"/>
        <v>60000</v>
      </c>
      <c r="I701" s="70">
        <f t="shared" si="123"/>
        <v>60000</v>
      </c>
      <c r="J701" s="70">
        <f t="shared" si="123"/>
        <v>60000</v>
      </c>
    </row>
    <row r="702" spans="1:12" x14ac:dyDescent="0.3">
      <c r="A702" s="142" t="s">
        <v>132</v>
      </c>
      <c r="B702" s="142"/>
      <c r="C702" s="142"/>
      <c r="D702" s="142"/>
      <c r="E702" s="142"/>
      <c r="F702" s="80"/>
      <c r="G702" s="80"/>
      <c r="H702" s="80"/>
      <c r="I702" s="80"/>
      <c r="J702" s="80"/>
    </row>
    <row r="703" spans="1:12" x14ac:dyDescent="0.3">
      <c r="A703" s="2"/>
      <c r="I703" s="10"/>
      <c r="J703" s="10"/>
    </row>
    <row r="704" spans="1:12" x14ac:dyDescent="0.3">
      <c r="A704" s="3">
        <v>372</v>
      </c>
      <c r="B704" s="3" t="s">
        <v>433</v>
      </c>
      <c r="C704" s="3"/>
      <c r="D704" s="3"/>
      <c r="E704" s="3"/>
      <c r="F704" s="5">
        <f t="shared" ref="F704:H704" si="124">F705</f>
        <v>50000</v>
      </c>
      <c r="G704" s="5">
        <f t="shared" si="124"/>
        <v>31500</v>
      </c>
      <c r="H704" s="5">
        <f t="shared" si="124"/>
        <v>60000</v>
      </c>
      <c r="I704" s="5">
        <v>60000</v>
      </c>
      <c r="J704" s="5">
        <v>60000</v>
      </c>
    </row>
    <row r="705" spans="1:12" x14ac:dyDescent="0.3">
      <c r="A705">
        <v>3721</v>
      </c>
      <c r="B705" t="s">
        <v>439</v>
      </c>
      <c r="F705" s="10">
        <v>50000</v>
      </c>
      <c r="G705" s="10">
        <v>31500</v>
      </c>
      <c r="H705" s="10">
        <v>60000</v>
      </c>
      <c r="I705" s="10"/>
      <c r="J705" s="10"/>
    </row>
    <row r="706" spans="1:12" x14ac:dyDescent="0.3">
      <c r="I706" s="10"/>
      <c r="J706" s="5"/>
      <c r="K706" s="3"/>
      <c r="L706" s="3"/>
    </row>
    <row r="707" spans="1:12" x14ac:dyDescent="0.3">
      <c r="A707" s="59" t="s">
        <v>440</v>
      </c>
      <c r="B707" s="59"/>
      <c r="C707" s="59"/>
      <c r="D707" s="59"/>
      <c r="E707" s="59"/>
      <c r="F707" s="92">
        <f>F714+F725</f>
        <v>232000</v>
      </c>
      <c r="G707" s="92">
        <f>G714+G725</f>
        <v>95415.57</v>
      </c>
      <c r="H707" s="92">
        <f>H714+H725</f>
        <v>232000</v>
      </c>
      <c r="I707" s="92">
        <f t="shared" ref="I707:J707" si="125">I714+I725</f>
        <v>232000</v>
      </c>
      <c r="J707" s="92">
        <f t="shared" si="125"/>
        <v>232000</v>
      </c>
      <c r="K707" s="3"/>
      <c r="L707" s="3"/>
    </row>
    <row r="708" spans="1:12" x14ac:dyDescent="0.3">
      <c r="A708" s="61" t="s">
        <v>441</v>
      </c>
      <c r="B708" s="61"/>
      <c r="C708" s="61"/>
      <c r="D708" s="61"/>
      <c r="E708" s="61"/>
      <c r="F708" s="82">
        <f t="shared" ref="F708:J708" si="126">F714</f>
        <v>210000</v>
      </c>
      <c r="G708" s="82">
        <f>G714</f>
        <v>83415.570000000007</v>
      </c>
      <c r="H708" s="82">
        <f>H714</f>
        <v>210000</v>
      </c>
      <c r="I708" s="82">
        <f t="shared" si="126"/>
        <v>210000</v>
      </c>
      <c r="J708" s="82">
        <f t="shared" si="126"/>
        <v>210000</v>
      </c>
      <c r="K708" s="3"/>
      <c r="L708" s="3"/>
    </row>
    <row r="709" spans="1:12" x14ac:dyDescent="0.3">
      <c r="A709" s="63" t="s">
        <v>442</v>
      </c>
      <c r="B709" s="63"/>
      <c r="C709" s="63"/>
      <c r="D709" s="63"/>
      <c r="E709" s="63"/>
      <c r="F709" s="93"/>
      <c r="G709" s="93"/>
      <c r="H709" s="93"/>
      <c r="I709" s="64"/>
      <c r="J709" s="83"/>
      <c r="K709" s="3"/>
      <c r="L709" s="3"/>
    </row>
    <row r="710" spans="1:12" s="3" customFormat="1" ht="13.8" x14ac:dyDescent="0.25">
      <c r="A710" s="68" t="s">
        <v>443</v>
      </c>
      <c r="B710" s="68"/>
      <c r="C710" s="68"/>
      <c r="D710" s="68"/>
      <c r="E710" s="68"/>
      <c r="F710" s="94"/>
      <c r="G710" s="94"/>
      <c r="H710" s="76">
        <f>H714+H731</f>
        <v>232000</v>
      </c>
      <c r="I710" s="76">
        <f t="shared" ref="I710:J710" si="127">I714+I731</f>
        <v>232000</v>
      </c>
      <c r="J710" s="76">
        <f t="shared" si="127"/>
        <v>232000</v>
      </c>
    </row>
    <row r="711" spans="1:12" s="3" customFormat="1" x14ac:dyDescent="0.3">
      <c r="A711" s="144" t="s">
        <v>132</v>
      </c>
      <c r="B711" s="145"/>
      <c r="C711" s="145"/>
      <c r="D711" s="145"/>
      <c r="E711" s="145"/>
      <c r="F711" s="67"/>
      <c r="G711" s="85"/>
      <c r="H711" s="85"/>
      <c r="I711" s="85"/>
      <c r="J711" s="85"/>
    </row>
    <row r="712" spans="1:12" s="3" customFormat="1" x14ac:dyDescent="0.3">
      <c r="A712" s="144" t="s">
        <v>263</v>
      </c>
      <c r="B712" s="145"/>
      <c r="C712" s="145"/>
      <c r="D712" s="145"/>
      <c r="E712" s="145"/>
      <c r="F712" s="67"/>
      <c r="G712" s="85"/>
      <c r="H712" s="85"/>
      <c r="I712" s="85"/>
      <c r="J712" s="85"/>
    </row>
    <row r="713" spans="1:12" s="3" customFormat="1" x14ac:dyDescent="0.3">
      <c r="A713"/>
      <c r="B713"/>
      <c r="C713"/>
      <c r="D713"/>
      <c r="E713"/>
      <c r="F713" s="5"/>
      <c r="G713" s="5"/>
      <c r="H713" s="5"/>
      <c r="I713" s="5"/>
      <c r="J713" s="5"/>
    </row>
    <row r="714" spans="1:12" s="3" customFormat="1" ht="13.8" x14ac:dyDescent="0.25">
      <c r="A714" s="3">
        <v>3</v>
      </c>
      <c r="B714" s="3" t="s">
        <v>8</v>
      </c>
      <c r="E714" s="2"/>
      <c r="F714" s="5">
        <f>F715+F718</f>
        <v>210000</v>
      </c>
      <c r="G714" s="5">
        <f>G715+G718</f>
        <v>83415.570000000007</v>
      </c>
      <c r="H714" s="5">
        <f>H715+H718</f>
        <v>210000</v>
      </c>
      <c r="I714" s="5">
        <f t="shared" ref="I714:J714" si="128">I715+I718</f>
        <v>210000</v>
      </c>
      <c r="J714" s="5">
        <f t="shared" si="128"/>
        <v>210000</v>
      </c>
    </row>
    <row r="715" spans="1:12" s="3" customFormat="1" x14ac:dyDescent="0.3">
      <c r="A715" s="3">
        <v>36</v>
      </c>
      <c r="B715" s="3" t="s">
        <v>275</v>
      </c>
      <c r="F715" s="5">
        <f t="shared" ref="F715:H715" si="129">F717</f>
        <v>110000</v>
      </c>
      <c r="G715" s="5">
        <f t="shared" si="129"/>
        <v>8415.57</v>
      </c>
      <c r="H715" s="5">
        <f t="shared" si="129"/>
        <v>110000</v>
      </c>
      <c r="I715" s="5">
        <v>110000</v>
      </c>
      <c r="J715" s="5">
        <v>110000</v>
      </c>
      <c r="K715"/>
      <c r="L715"/>
    </row>
    <row r="716" spans="1:12" s="3" customFormat="1" x14ac:dyDescent="0.3">
      <c r="A716" s="3">
        <v>363</v>
      </c>
      <c r="B716" s="3" t="s">
        <v>275</v>
      </c>
      <c r="F716" s="5">
        <f t="shared" ref="F716:H716" si="130">F717</f>
        <v>110000</v>
      </c>
      <c r="G716" s="5">
        <f t="shared" si="130"/>
        <v>8415.57</v>
      </c>
      <c r="H716" s="5">
        <f t="shared" si="130"/>
        <v>110000</v>
      </c>
      <c r="I716" s="5"/>
      <c r="J716" s="5"/>
      <c r="K716"/>
      <c r="L716"/>
    </row>
    <row r="717" spans="1:12" s="3" customFormat="1" x14ac:dyDescent="0.3">
      <c r="A717">
        <v>3631</v>
      </c>
      <c r="B717" t="s">
        <v>444</v>
      </c>
      <c r="C717"/>
      <c r="D717"/>
      <c r="E717"/>
      <c r="F717" s="36">
        <v>110000</v>
      </c>
      <c r="G717" s="36">
        <v>8415.57</v>
      </c>
      <c r="H717" s="36">
        <v>110000</v>
      </c>
      <c r="I717" s="5"/>
      <c r="J717" s="10"/>
      <c r="K717"/>
      <c r="L717"/>
    </row>
    <row r="718" spans="1:12" s="3" customFormat="1" x14ac:dyDescent="0.3">
      <c r="A718" s="3">
        <v>38</v>
      </c>
      <c r="B718" s="3" t="s">
        <v>445</v>
      </c>
      <c r="F718" s="5">
        <f t="shared" ref="F718:H718" si="131">F719</f>
        <v>100000</v>
      </c>
      <c r="G718" s="5">
        <f t="shared" si="131"/>
        <v>75000</v>
      </c>
      <c r="H718" s="5">
        <f t="shared" si="131"/>
        <v>100000</v>
      </c>
      <c r="I718" s="5">
        <v>100000</v>
      </c>
      <c r="J718" s="5">
        <v>100000</v>
      </c>
      <c r="K718"/>
      <c r="L718"/>
    </row>
    <row r="719" spans="1:12" x14ac:dyDescent="0.3">
      <c r="A719" s="3">
        <v>381</v>
      </c>
      <c r="B719" s="3" t="s">
        <v>446</v>
      </c>
      <c r="C719" s="3"/>
      <c r="D719" s="3"/>
      <c r="E719" s="3"/>
      <c r="F719" s="10">
        <v>100000</v>
      </c>
      <c r="G719" s="10">
        <v>75000</v>
      </c>
      <c r="H719" s="10">
        <v>100000</v>
      </c>
      <c r="I719" s="10"/>
      <c r="J719" s="10"/>
    </row>
    <row r="720" spans="1:12" hidden="1" x14ac:dyDescent="0.3">
      <c r="A720">
        <v>3811</v>
      </c>
      <c r="B720" t="s">
        <v>447</v>
      </c>
      <c r="I720" s="10"/>
      <c r="J720" s="10"/>
    </row>
    <row r="721" spans="1:10" hidden="1" x14ac:dyDescent="0.3">
      <c r="A721">
        <v>3811</v>
      </c>
      <c r="B721" t="s">
        <v>448</v>
      </c>
      <c r="I721" s="10"/>
      <c r="J721" s="10"/>
    </row>
    <row r="722" spans="1:10" hidden="1" x14ac:dyDescent="0.3">
      <c r="A722" s="1">
        <v>3811</v>
      </c>
      <c r="B722" t="s">
        <v>449</v>
      </c>
      <c r="I722" s="10"/>
      <c r="J722" s="10"/>
    </row>
    <row r="723" spans="1:10" hidden="1" x14ac:dyDescent="0.3">
      <c r="A723" s="1">
        <v>3811</v>
      </c>
      <c r="B723" t="s">
        <v>450</v>
      </c>
      <c r="I723" s="10"/>
      <c r="J723" s="10"/>
    </row>
    <row r="724" spans="1:10" x14ac:dyDescent="0.3">
      <c r="A724" s="1"/>
      <c r="I724" s="10"/>
      <c r="J724" s="10"/>
    </row>
    <row r="725" spans="1:10" x14ac:dyDescent="0.3">
      <c r="A725" s="61" t="s">
        <v>451</v>
      </c>
      <c r="B725" s="61"/>
      <c r="C725" s="61"/>
      <c r="D725" s="61"/>
      <c r="E725" s="61"/>
      <c r="F725" s="82">
        <f t="shared" ref="F725:J725" si="132">F731</f>
        <v>22000</v>
      </c>
      <c r="G725" s="82">
        <f t="shared" si="132"/>
        <v>12000</v>
      </c>
      <c r="H725" s="82">
        <f>H731</f>
        <v>22000</v>
      </c>
      <c r="I725" s="82">
        <f t="shared" si="132"/>
        <v>22000</v>
      </c>
      <c r="J725" s="82">
        <f t="shared" si="132"/>
        <v>22000</v>
      </c>
    </row>
    <row r="726" spans="1:10" hidden="1" x14ac:dyDescent="0.3">
      <c r="A726" s="63" t="s">
        <v>452</v>
      </c>
      <c r="B726" s="63"/>
      <c r="C726" s="63"/>
      <c r="D726" s="63"/>
      <c r="E726" s="63"/>
      <c r="I726" s="10"/>
      <c r="J726" s="10"/>
    </row>
    <row r="727" spans="1:10" hidden="1" x14ac:dyDescent="0.3">
      <c r="A727" s="120" t="s">
        <v>453</v>
      </c>
      <c r="B727" s="120"/>
      <c r="C727" s="120"/>
      <c r="D727" s="120"/>
      <c r="E727" s="120"/>
      <c r="I727" s="10"/>
      <c r="J727" s="10"/>
    </row>
    <row r="728" spans="1:10" hidden="1" x14ac:dyDescent="0.3">
      <c r="A728" s="68" t="s">
        <v>454</v>
      </c>
      <c r="B728" s="68"/>
      <c r="C728" s="68"/>
      <c r="D728" s="68"/>
      <c r="E728" s="68"/>
      <c r="I728" s="10"/>
      <c r="J728" s="10"/>
    </row>
    <row r="729" spans="1:10" hidden="1" x14ac:dyDescent="0.3">
      <c r="A729" s="1"/>
      <c r="I729" s="10"/>
      <c r="J729" s="10"/>
    </row>
    <row r="730" spans="1:10" x14ac:dyDescent="0.3">
      <c r="A730" s="1"/>
      <c r="I730" s="10"/>
      <c r="J730" s="10"/>
    </row>
    <row r="731" spans="1:10" x14ac:dyDescent="0.3">
      <c r="A731" s="3">
        <v>38</v>
      </c>
      <c r="B731" s="3" t="s">
        <v>445</v>
      </c>
      <c r="C731" s="3"/>
      <c r="D731" s="3"/>
      <c r="E731" s="3"/>
      <c r="F731" s="5">
        <f t="shared" ref="F731:H731" si="133">SUM(F733:F734)</f>
        <v>22000</v>
      </c>
      <c r="G731" s="5">
        <f t="shared" si="133"/>
        <v>12000</v>
      </c>
      <c r="H731" s="5">
        <f t="shared" si="133"/>
        <v>22000</v>
      </c>
      <c r="I731" s="5">
        <v>22000</v>
      </c>
      <c r="J731" s="5">
        <v>22000</v>
      </c>
    </row>
    <row r="732" spans="1:10" x14ac:dyDescent="0.3">
      <c r="A732" s="3">
        <v>381</v>
      </c>
      <c r="B732" s="3" t="s">
        <v>159</v>
      </c>
      <c r="C732" s="3"/>
      <c r="D732" s="3"/>
      <c r="E732" s="3"/>
      <c r="F732" s="5">
        <f t="shared" ref="F732:H732" si="134">SUM(F733:F734)</f>
        <v>22000</v>
      </c>
      <c r="G732" s="5">
        <f t="shared" si="134"/>
        <v>12000</v>
      </c>
      <c r="H732" s="5">
        <f t="shared" si="134"/>
        <v>22000</v>
      </c>
      <c r="I732" s="5"/>
      <c r="J732" s="5"/>
    </row>
    <row r="733" spans="1:10" x14ac:dyDescent="0.3">
      <c r="A733">
        <v>3811</v>
      </c>
      <c r="B733" t="s">
        <v>455</v>
      </c>
      <c r="F733" s="10">
        <v>10000</v>
      </c>
      <c r="H733" s="10">
        <v>10000</v>
      </c>
      <c r="I733" s="10"/>
      <c r="J733" s="10"/>
    </row>
    <row r="734" spans="1:10" x14ac:dyDescent="0.3">
      <c r="A734">
        <v>3811</v>
      </c>
      <c r="B734" s="1" t="s">
        <v>456</v>
      </c>
      <c r="F734" s="10">
        <v>12000</v>
      </c>
      <c r="G734" s="10">
        <v>12000</v>
      </c>
      <c r="H734" s="10">
        <v>12000</v>
      </c>
      <c r="I734" s="10"/>
      <c r="J734" s="10"/>
    </row>
    <row r="735" spans="1:10" x14ac:dyDescent="0.3">
      <c r="B735" s="1"/>
      <c r="I735" s="10"/>
      <c r="J735" s="10"/>
    </row>
    <row r="736" spans="1:10" x14ac:dyDescent="0.3">
      <c r="A736" s="59" t="s">
        <v>457</v>
      </c>
      <c r="B736" s="59"/>
      <c r="C736" s="59"/>
      <c r="D736" s="59"/>
      <c r="E736" s="59"/>
      <c r="F736" s="60">
        <f>F737+F746+F758</f>
        <v>220000</v>
      </c>
      <c r="G736" s="60">
        <f>G737+G746+G758</f>
        <v>174987.5</v>
      </c>
      <c r="H736" s="60">
        <f t="shared" ref="H736:J736" si="135">H737+H746+H758</f>
        <v>261000</v>
      </c>
      <c r="I736" s="60">
        <f t="shared" si="135"/>
        <v>241000</v>
      </c>
      <c r="J736" s="60">
        <f t="shared" si="135"/>
        <v>241000</v>
      </c>
    </row>
    <row r="737" spans="1:12" x14ac:dyDescent="0.3">
      <c r="A737" s="61" t="s">
        <v>458</v>
      </c>
      <c r="B737" s="61"/>
      <c r="C737" s="61"/>
      <c r="D737" s="61"/>
      <c r="E737" s="61"/>
      <c r="F737" s="62">
        <f t="shared" ref="F737:J737" si="136">F739</f>
        <v>185000</v>
      </c>
      <c r="G737" s="62">
        <f t="shared" si="136"/>
        <v>153000</v>
      </c>
      <c r="H737" s="62">
        <f>H739</f>
        <v>220000</v>
      </c>
      <c r="I737" s="62">
        <f t="shared" si="136"/>
        <v>200000</v>
      </c>
      <c r="J737" s="62">
        <f t="shared" si="136"/>
        <v>200000</v>
      </c>
    </row>
    <row r="738" spans="1:12" x14ac:dyDescent="0.3">
      <c r="A738" s="63" t="s">
        <v>459</v>
      </c>
      <c r="B738" s="63"/>
      <c r="C738" s="63"/>
      <c r="D738" s="63"/>
      <c r="E738" s="63"/>
      <c r="F738" s="64"/>
      <c r="G738" s="64"/>
      <c r="H738" s="64"/>
      <c r="I738" s="64"/>
      <c r="J738" s="64"/>
    </row>
    <row r="739" spans="1:12" x14ac:dyDescent="0.3">
      <c r="A739" s="147" t="s">
        <v>460</v>
      </c>
      <c r="B739" s="147"/>
      <c r="C739" s="147"/>
      <c r="D739" s="147"/>
      <c r="E739" s="147"/>
      <c r="F739" s="70">
        <f t="shared" ref="F739:J739" si="137">F742</f>
        <v>185000</v>
      </c>
      <c r="G739" s="70">
        <f t="shared" si="137"/>
        <v>153000</v>
      </c>
      <c r="H739" s="70">
        <f t="shared" si="137"/>
        <v>220000</v>
      </c>
      <c r="I739" s="70">
        <f t="shared" si="137"/>
        <v>200000</v>
      </c>
      <c r="J739" s="70">
        <f t="shared" si="137"/>
        <v>200000</v>
      </c>
    </row>
    <row r="740" spans="1:12" x14ac:dyDescent="0.3">
      <c r="A740" s="144" t="s">
        <v>132</v>
      </c>
      <c r="B740" s="145"/>
      <c r="C740" s="145"/>
      <c r="D740" s="145"/>
      <c r="E740" s="145"/>
      <c r="F740" s="80"/>
      <c r="G740" s="80"/>
      <c r="H740" s="80"/>
      <c r="I740" s="80"/>
      <c r="J740" s="80"/>
    </row>
    <row r="741" spans="1:12" x14ac:dyDescent="0.3">
      <c r="B741" s="1"/>
      <c r="I741" s="10"/>
      <c r="J741" s="10"/>
    </row>
    <row r="742" spans="1:12" x14ac:dyDescent="0.3">
      <c r="A742" s="3">
        <v>3</v>
      </c>
      <c r="B742" s="3" t="s">
        <v>8</v>
      </c>
      <c r="C742" s="3"/>
      <c r="D742" s="3"/>
      <c r="E742" s="3"/>
      <c r="F742" s="5">
        <f>F743</f>
        <v>185000</v>
      </c>
      <c r="G742" s="5">
        <f t="shared" ref="G742:J743" si="138">G743</f>
        <v>153000</v>
      </c>
      <c r="H742" s="5">
        <f t="shared" si="138"/>
        <v>220000</v>
      </c>
      <c r="I742" s="5">
        <f t="shared" si="138"/>
        <v>200000</v>
      </c>
      <c r="J742" s="5">
        <f t="shared" si="138"/>
        <v>200000</v>
      </c>
    </row>
    <row r="743" spans="1:12" x14ac:dyDescent="0.3">
      <c r="A743" s="3">
        <v>38</v>
      </c>
      <c r="B743" s="3" t="s">
        <v>445</v>
      </c>
      <c r="C743" s="3"/>
      <c r="D743" s="3"/>
      <c r="E743" s="3"/>
      <c r="F743" s="5">
        <f>F744</f>
        <v>185000</v>
      </c>
      <c r="G743" s="5">
        <f t="shared" si="138"/>
        <v>153000</v>
      </c>
      <c r="H743" s="5">
        <f t="shared" si="138"/>
        <v>220000</v>
      </c>
      <c r="I743" s="5">
        <v>200000</v>
      </c>
      <c r="J743" s="5">
        <v>200000</v>
      </c>
    </row>
    <row r="744" spans="1:12" x14ac:dyDescent="0.3">
      <c r="A744" s="1">
        <v>3811</v>
      </c>
      <c r="B744" s="1" t="s">
        <v>461</v>
      </c>
      <c r="C744" s="1"/>
      <c r="D744" s="1"/>
      <c r="E744" s="1"/>
      <c r="F744" s="10">
        <v>185000</v>
      </c>
      <c r="G744" s="10">
        <v>153000</v>
      </c>
      <c r="H744" s="10">
        <v>220000</v>
      </c>
      <c r="I744" s="10"/>
      <c r="J744" s="10"/>
    </row>
    <row r="745" spans="1:12" x14ac:dyDescent="0.3">
      <c r="I745" s="10"/>
      <c r="J745" s="10"/>
    </row>
    <row r="746" spans="1:12" x14ac:dyDescent="0.3">
      <c r="A746" s="61" t="s">
        <v>462</v>
      </c>
      <c r="B746" s="61"/>
      <c r="C746" s="61"/>
      <c r="D746" s="61"/>
      <c r="E746" s="61"/>
      <c r="F746" s="82">
        <f t="shared" ref="F746:J746" si="139">F754</f>
        <v>19000</v>
      </c>
      <c r="G746" s="82">
        <f t="shared" si="139"/>
        <v>12000</v>
      </c>
      <c r="H746" s="82">
        <f>H754</f>
        <v>24000</v>
      </c>
      <c r="I746" s="82">
        <f t="shared" si="139"/>
        <v>24000</v>
      </c>
      <c r="J746" s="82">
        <f t="shared" si="139"/>
        <v>24000</v>
      </c>
    </row>
    <row r="747" spans="1:12" x14ac:dyDescent="0.3">
      <c r="A747" s="63" t="s">
        <v>459</v>
      </c>
      <c r="B747" s="63"/>
      <c r="C747" s="63"/>
      <c r="D747" s="63"/>
      <c r="E747" s="63"/>
      <c r="F747" s="64"/>
      <c r="G747" s="64"/>
      <c r="H747" s="64"/>
      <c r="I747" s="64"/>
      <c r="J747" s="64"/>
    </row>
    <row r="748" spans="1:12" hidden="1" x14ac:dyDescent="0.3">
      <c r="A748" s="68" t="s">
        <v>463</v>
      </c>
      <c r="B748" s="69"/>
      <c r="C748" s="69"/>
      <c r="D748" s="69"/>
      <c r="E748" s="69"/>
      <c r="I748" s="10"/>
      <c r="J748" s="35"/>
      <c r="K748" s="2"/>
      <c r="L748" s="2"/>
    </row>
    <row r="749" spans="1:12" hidden="1" x14ac:dyDescent="0.3">
      <c r="A749" s="2"/>
      <c r="I749" s="10"/>
      <c r="J749" s="10"/>
    </row>
    <row r="750" spans="1:12" x14ac:dyDescent="0.3">
      <c r="A750" s="68" t="s">
        <v>464</v>
      </c>
      <c r="B750" s="69"/>
      <c r="C750" s="69"/>
      <c r="D750" s="69"/>
      <c r="E750" s="69"/>
      <c r="F750" s="70">
        <f t="shared" ref="F750:J750" si="140">F754</f>
        <v>19000</v>
      </c>
      <c r="G750" s="70">
        <f t="shared" si="140"/>
        <v>12000</v>
      </c>
      <c r="H750" s="70">
        <f t="shared" si="140"/>
        <v>24000</v>
      </c>
      <c r="I750" s="70">
        <f t="shared" si="140"/>
        <v>24000</v>
      </c>
      <c r="J750" s="70">
        <f t="shared" si="140"/>
        <v>24000</v>
      </c>
    </row>
    <row r="751" spans="1:12" x14ac:dyDescent="0.3">
      <c r="A751" s="144" t="s">
        <v>132</v>
      </c>
      <c r="B751" s="145"/>
      <c r="C751" s="145"/>
      <c r="D751" s="145"/>
      <c r="E751" s="145"/>
      <c r="F751" s="80"/>
      <c r="G751" s="80"/>
      <c r="H751" s="80"/>
      <c r="I751" s="80"/>
      <c r="J751" s="80"/>
    </row>
    <row r="752" spans="1:12" x14ac:dyDescent="0.3">
      <c r="B752" s="1"/>
      <c r="I752" s="10"/>
      <c r="J752" s="10"/>
    </row>
    <row r="753" spans="1:12" s="3" customFormat="1" ht="13.2" x14ac:dyDescent="0.25">
      <c r="A753" s="3">
        <v>3</v>
      </c>
      <c r="B753" s="3" t="s">
        <v>8</v>
      </c>
      <c r="F753" s="5">
        <f>F754</f>
        <v>19000</v>
      </c>
      <c r="G753" s="5"/>
      <c r="H753" s="5">
        <f>H754</f>
        <v>24000</v>
      </c>
      <c r="I753" s="5">
        <f t="shared" ref="I753:J753" si="141">I754</f>
        <v>24000</v>
      </c>
      <c r="J753" s="5">
        <f t="shared" si="141"/>
        <v>24000</v>
      </c>
    </row>
    <row r="754" spans="1:12" x14ac:dyDescent="0.3">
      <c r="A754" s="3">
        <v>38</v>
      </c>
      <c r="B754" s="3" t="s">
        <v>445</v>
      </c>
      <c r="C754" s="3"/>
      <c r="D754" s="3"/>
      <c r="E754" s="3"/>
      <c r="F754" s="5">
        <f t="shared" ref="F754:H754" si="142">SUM(F755:F756)</f>
        <v>19000</v>
      </c>
      <c r="G754" s="5">
        <f t="shared" si="142"/>
        <v>12000</v>
      </c>
      <c r="H754" s="5">
        <f t="shared" si="142"/>
        <v>24000</v>
      </c>
      <c r="I754" s="5">
        <v>24000</v>
      </c>
      <c r="J754" s="5">
        <v>24000</v>
      </c>
    </row>
    <row r="755" spans="1:12" x14ac:dyDescent="0.3">
      <c r="A755" s="3">
        <v>381</v>
      </c>
      <c r="B755" s="3" t="s">
        <v>465</v>
      </c>
      <c r="C755" s="3"/>
      <c r="D755" s="3"/>
      <c r="E755" s="3"/>
      <c r="F755" s="36">
        <v>14000</v>
      </c>
      <c r="G755" s="36">
        <v>7000</v>
      </c>
      <c r="H755" s="36">
        <v>17000</v>
      </c>
      <c r="I755" s="10"/>
      <c r="J755" s="10"/>
    </row>
    <row r="756" spans="1:12" x14ac:dyDescent="0.3">
      <c r="A756" s="1">
        <v>3811</v>
      </c>
      <c r="B756" s="1" t="s">
        <v>466</v>
      </c>
      <c r="C756" s="1"/>
      <c r="D756" s="1"/>
      <c r="E756" s="1"/>
      <c r="F756" s="36">
        <v>5000</v>
      </c>
      <c r="G756" s="36">
        <v>5000</v>
      </c>
      <c r="H756" s="36">
        <v>7000</v>
      </c>
      <c r="I756" s="10"/>
      <c r="J756" s="10"/>
    </row>
    <row r="757" spans="1:12" x14ac:dyDescent="0.3">
      <c r="A757" s="3"/>
      <c r="B757" s="3"/>
      <c r="F757" s="5"/>
      <c r="G757" s="5"/>
      <c r="H757" s="5"/>
      <c r="I757" s="10"/>
      <c r="J757" s="10"/>
    </row>
    <row r="758" spans="1:12" s="3" customFormat="1" x14ac:dyDescent="0.3">
      <c r="A758" s="61" t="s">
        <v>467</v>
      </c>
      <c r="B758" s="61"/>
      <c r="C758" s="61"/>
      <c r="D758" s="61"/>
      <c r="E758" s="61"/>
      <c r="F758" s="82">
        <f>F764+F772</f>
        <v>16000</v>
      </c>
      <c r="G758" s="82">
        <f>G764+G772</f>
        <v>9987.5</v>
      </c>
      <c r="H758" s="82">
        <f>H764+H772</f>
        <v>17000</v>
      </c>
      <c r="I758" s="82">
        <f>I764+I772</f>
        <v>17000</v>
      </c>
      <c r="J758" s="82">
        <f>J764+J772</f>
        <v>17000</v>
      </c>
      <c r="K758"/>
      <c r="L758"/>
    </row>
    <row r="759" spans="1:12" x14ac:dyDescent="0.3">
      <c r="A759" s="63" t="s">
        <v>459</v>
      </c>
      <c r="B759" s="63"/>
      <c r="C759" s="63"/>
      <c r="D759" s="63"/>
      <c r="E759" s="63"/>
      <c r="F759" s="83"/>
      <c r="G759" s="83"/>
      <c r="H759" s="83"/>
      <c r="I759" s="64"/>
      <c r="J759" s="64"/>
    </row>
    <row r="760" spans="1:12" hidden="1" x14ac:dyDescent="0.3">
      <c r="A760" s="68" t="s">
        <v>468</v>
      </c>
      <c r="B760" s="69"/>
      <c r="C760" s="69"/>
      <c r="D760" s="69"/>
      <c r="E760" s="69"/>
      <c r="F760" s="5"/>
      <c r="G760" s="5"/>
      <c r="H760" s="5"/>
      <c r="I760" s="10"/>
      <c r="J760" s="10"/>
    </row>
    <row r="761" spans="1:12" x14ac:dyDescent="0.3">
      <c r="A761" s="68" t="s">
        <v>469</v>
      </c>
      <c r="B761" s="69"/>
      <c r="C761" s="69"/>
      <c r="D761" s="69"/>
      <c r="E761" s="69"/>
      <c r="F761" s="70">
        <f t="shared" ref="F761:J761" si="143">F764</f>
        <v>12000</v>
      </c>
      <c r="G761" s="70">
        <f t="shared" si="143"/>
        <v>9987.5</v>
      </c>
      <c r="H761" s="70">
        <f t="shared" si="143"/>
        <v>12000</v>
      </c>
      <c r="I761" s="70">
        <f>I764</f>
        <v>12000</v>
      </c>
      <c r="J761" s="70">
        <f t="shared" si="143"/>
        <v>12000</v>
      </c>
    </row>
    <row r="762" spans="1:12" x14ac:dyDescent="0.3">
      <c r="A762" s="144" t="s">
        <v>132</v>
      </c>
      <c r="B762" s="145"/>
      <c r="C762" s="145"/>
      <c r="D762" s="145"/>
      <c r="E762" s="145"/>
      <c r="F762" s="67"/>
      <c r="G762" s="85"/>
      <c r="H762" s="85"/>
      <c r="I762" s="80"/>
      <c r="J762" s="80"/>
    </row>
    <row r="763" spans="1:12" x14ac:dyDescent="0.3">
      <c r="B763" s="1"/>
      <c r="F763" s="5"/>
      <c r="G763" s="5"/>
      <c r="H763" s="5"/>
      <c r="I763" s="10"/>
      <c r="J763" s="10"/>
    </row>
    <row r="764" spans="1:12" x14ac:dyDescent="0.3">
      <c r="A764" s="3">
        <v>3</v>
      </c>
      <c r="B764" s="3" t="s">
        <v>8</v>
      </c>
      <c r="C764" s="3"/>
      <c r="D764" s="3"/>
      <c r="E764" s="3"/>
      <c r="F764" s="5">
        <f t="shared" ref="F764:H765" si="144">F765</f>
        <v>12000</v>
      </c>
      <c r="G764" s="5">
        <f t="shared" si="144"/>
        <v>9987.5</v>
      </c>
      <c r="H764" s="5">
        <f t="shared" si="144"/>
        <v>12000</v>
      </c>
      <c r="I764" s="5">
        <f>I765</f>
        <v>12000</v>
      </c>
      <c r="J764" s="5">
        <f>J765</f>
        <v>12000</v>
      </c>
    </row>
    <row r="765" spans="1:12" x14ac:dyDescent="0.3">
      <c r="A765" s="3">
        <v>38</v>
      </c>
      <c r="B765" s="3" t="s">
        <v>445</v>
      </c>
      <c r="C765" s="3"/>
      <c r="D765" s="3"/>
      <c r="E765" s="3"/>
      <c r="F765" s="5">
        <f t="shared" si="144"/>
        <v>12000</v>
      </c>
      <c r="G765" s="5">
        <f t="shared" si="144"/>
        <v>9987.5</v>
      </c>
      <c r="H765" s="5">
        <f t="shared" si="144"/>
        <v>12000</v>
      </c>
      <c r="I765" s="5">
        <v>12000</v>
      </c>
      <c r="J765" s="5">
        <v>12000</v>
      </c>
    </row>
    <row r="766" spans="1:12" x14ac:dyDescent="0.3">
      <c r="A766" s="3">
        <v>381</v>
      </c>
      <c r="B766" s="3" t="s">
        <v>470</v>
      </c>
      <c r="C766" s="3"/>
      <c r="D766" s="3"/>
      <c r="E766" s="3"/>
      <c r="F766" s="36">
        <v>12000</v>
      </c>
      <c r="G766" s="36">
        <v>9987.5</v>
      </c>
      <c r="H766" s="36">
        <v>12000</v>
      </c>
      <c r="I766" s="10"/>
      <c r="J766" s="10"/>
    </row>
    <row r="767" spans="1:12" hidden="1" x14ac:dyDescent="0.3">
      <c r="A767">
        <v>3811</v>
      </c>
      <c r="B767" t="s">
        <v>471</v>
      </c>
      <c r="F767" s="5"/>
      <c r="G767" s="5"/>
      <c r="H767" s="5"/>
      <c r="I767" s="10"/>
      <c r="J767" s="10"/>
    </row>
    <row r="768" spans="1:12" hidden="1" x14ac:dyDescent="0.3">
      <c r="A768">
        <v>3811</v>
      </c>
      <c r="B768" t="s">
        <v>472</v>
      </c>
      <c r="F768" s="5"/>
      <c r="G768" s="5"/>
      <c r="H768" s="5"/>
      <c r="I768" s="10"/>
      <c r="J768" s="10"/>
    </row>
    <row r="769" spans="1:10" x14ac:dyDescent="0.3">
      <c r="F769" s="5"/>
      <c r="G769" s="5"/>
      <c r="H769" s="5"/>
      <c r="I769" s="10"/>
      <c r="J769" s="10"/>
    </row>
    <row r="770" spans="1:10" x14ac:dyDescent="0.3">
      <c r="A770" s="68" t="s">
        <v>473</v>
      </c>
      <c r="B770" s="69"/>
      <c r="C770" s="69"/>
      <c r="D770" s="69"/>
      <c r="E770" s="69"/>
      <c r="F770" s="70">
        <f t="shared" ref="F770:J770" si="145">F772</f>
        <v>4000</v>
      </c>
      <c r="G770" s="70">
        <f t="shared" si="145"/>
        <v>0</v>
      </c>
      <c r="H770" s="70">
        <f t="shared" si="145"/>
        <v>5000</v>
      </c>
      <c r="I770" s="70">
        <f t="shared" si="145"/>
        <v>5000</v>
      </c>
      <c r="J770" s="70">
        <f t="shared" si="145"/>
        <v>5000</v>
      </c>
    </row>
    <row r="771" spans="1:10" x14ac:dyDescent="0.3">
      <c r="A771" s="144" t="s">
        <v>132</v>
      </c>
      <c r="B771" s="145"/>
      <c r="C771" s="145"/>
      <c r="D771" s="145"/>
      <c r="E771" s="145"/>
      <c r="F771" s="67"/>
      <c r="G771" s="85"/>
      <c r="H771" s="85"/>
      <c r="I771" s="80"/>
      <c r="J771" s="80"/>
    </row>
    <row r="772" spans="1:10" x14ac:dyDescent="0.3">
      <c r="A772" s="3">
        <v>3</v>
      </c>
      <c r="B772" s="3" t="s">
        <v>8</v>
      </c>
      <c r="C772" s="3"/>
      <c r="D772" s="3"/>
      <c r="E772" s="3"/>
      <c r="F772" s="5">
        <f t="shared" ref="F772:J773" si="146">F773</f>
        <v>4000</v>
      </c>
      <c r="G772" s="5">
        <f t="shared" si="146"/>
        <v>0</v>
      </c>
      <c r="H772" s="5">
        <f t="shared" si="146"/>
        <v>5000</v>
      </c>
      <c r="I772" s="5">
        <f t="shared" si="146"/>
        <v>5000</v>
      </c>
      <c r="J772" s="5">
        <f t="shared" si="146"/>
        <v>5000</v>
      </c>
    </row>
    <row r="773" spans="1:10" x14ac:dyDescent="0.3">
      <c r="A773" s="3">
        <v>38</v>
      </c>
      <c r="B773" s="3" t="s">
        <v>445</v>
      </c>
      <c r="C773" s="3"/>
      <c r="D773" s="3"/>
      <c r="E773" s="3"/>
      <c r="F773" s="5">
        <f t="shared" si="146"/>
        <v>4000</v>
      </c>
      <c r="G773" s="5">
        <f t="shared" si="146"/>
        <v>0</v>
      </c>
      <c r="H773" s="5">
        <f t="shared" si="146"/>
        <v>5000</v>
      </c>
      <c r="I773" s="5">
        <v>5000</v>
      </c>
      <c r="J773" s="5">
        <v>5000</v>
      </c>
    </row>
    <row r="774" spans="1:10" x14ac:dyDescent="0.3">
      <c r="A774" s="3">
        <v>381</v>
      </c>
      <c r="B774" s="3" t="s">
        <v>474</v>
      </c>
      <c r="C774" s="3"/>
      <c r="D774" s="3"/>
      <c r="E774" s="3"/>
      <c r="F774" s="36">
        <v>4000</v>
      </c>
      <c r="G774" s="36"/>
      <c r="H774" s="36">
        <v>5000</v>
      </c>
      <c r="I774" s="10"/>
      <c r="J774" s="10"/>
    </row>
    <row r="775" spans="1:10" x14ac:dyDescent="0.3">
      <c r="A775" s="3"/>
      <c r="B775" s="3"/>
      <c r="C775" s="3"/>
      <c r="D775" s="3"/>
      <c r="E775" s="3"/>
      <c r="F775" s="36"/>
      <c r="G775" s="36"/>
      <c r="H775" s="36"/>
      <c r="I775" s="10"/>
      <c r="J775" s="10"/>
    </row>
    <row r="776" spans="1:10" x14ac:dyDescent="0.3">
      <c r="A776" s="59" t="s">
        <v>475</v>
      </c>
      <c r="B776" s="59"/>
      <c r="C776" s="59"/>
      <c r="D776" s="59"/>
      <c r="E776" s="59"/>
      <c r="F776" s="60">
        <f>F777+F842</f>
        <v>610800</v>
      </c>
      <c r="G776" s="60">
        <f>G777+G842</f>
        <v>345408.63999999996</v>
      </c>
      <c r="H776" s="60">
        <f>H777+H842</f>
        <v>656800</v>
      </c>
      <c r="I776" s="60">
        <f t="shared" ref="I776:J776" si="147">I777+I842</f>
        <v>539000</v>
      </c>
      <c r="J776" s="60">
        <f t="shared" si="147"/>
        <v>539000</v>
      </c>
    </row>
    <row r="777" spans="1:10" x14ac:dyDescent="0.3">
      <c r="A777" s="61" t="s">
        <v>476</v>
      </c>
      <c r="B777" s="61"/>
      <c r="C777" s="61"/>
      <c r="D777" s="61"/>
      <c r="E777" s="61"/>
      <c r="F777" s="62">
        <f>F780+F804+F812+F832</f>
        <v>561300</v>
      </c>
      <c r="G777" s="62">
        <f>G780+G804+G812+G832</f>
        <v>333101.02999999997</v>
      </c>
      <c r="H777" s="62">
        <f>H780+H804+H812+H832</f>
        <v>558300</v>
      </c>
      <c r="I777" s="62">
        <f>I780+I804+I812+I832</f>
        <v>440000</v>
      </c>
      <c r="J777" s="62">
        <f t="shared" ref="J777" si="148">J780+J804+J812+J832</f>
        <v>440000</v>
      </c>
    </row>
    <row r="778" spans="1:10" ht="15" hidden="1" customHeight="1" x14ac:dyDescent="0.3">
      <c r="A778" s="63" t="s">
        <v>477</v>
      </c>
      <c r="B778" s="63"/>
      <c r="C778" s="63"/>
      <c r="D778" s="63"/>
      <c r="E778" s="63"/>
      <c r="F778" s="5"/>
      <c r="G778" s="5"/>
      <c r="H778" s="5"/>
      <c r="I778" s="10"/>
      <c r="J778" s="10"/>
    </row>
    <row r="779" spans="1:10" ht="15" hidden="1" customHeight="1" x14ac:dyDescent="0.3">
      <c r="A779" s="120" t="s">
        <v>453</v>
      </c>
      <c r="B779" s="121"/>
      <c r="C779" s="121"/>
      <c r="D779" s="121"/>
      <c r="E779" s="121"/>
      <c r="F779" s="5"/>
      <c r="G779" s="5"/>
      <c r="H779" s="5"/>
      <c r="I779" s="10"/>
      <c r="J779" s="10"/>
    </row>
    <row r="780" spans="1:10" x14ac:dyDescent="0.3">
      <c r="A780" s="68" t="s">
        <v>478</v>
      </c>
      <c r="B780" s="69"/>
      <c r="C780" s="69"/>
      <c r="D780" s="69"/>
      <c r="E780" s="69"/>
      <c r="F780" s="70">
        <f t="shared" ref="F780:G780" si="149">F784</f>
        <v>361500</v>
      </c>
      <c r="G780" s="70">
        <f t="shared" si="149"/>
        <v>235835.78999999998</v>
      </c>
      <c r="H780" s="70">
        <f>H784</f>
        <v>394500</v>
      </c>
      <c r="I780" s="70">
        <f>I784+I800</f>
        <v>430000</v>
      </c>
      <c r="J780" s="70">
        <f>J784+J800</f>
        <v>430000</v>
      </c>
    </row>
    <row r="781" spans="1:10" x14ac:dyDescent="0.3">
      <c r="A781" s="142" t="s">
        <v>132</v>
      </c>
      <c r="B781" s="142"/>
      <c r="C781" s="142"/>
      <c r="D781" s="142"/>
      <c r="E781" s="142"/>
      <c r="F781" s="67"/>
      <c r="G781" s="67"/>
      <c r="H781" s="67"/>
      <c r="I781" s="80"/>
      <c r="J781" s="80"/>
    </row>
    <row r="782" spans="1:10" x14ac:dyDescent="0.3">
      <c r="A782" s="142" t="s">
        <v>163</v>
      </c>
      <c r="B782" s="142"/>
      <c r="C782" s="142"/>
      <c r="D782" s="142"/>
      <c r="E782" s="142"/>
      <c r="F782" s="67"/>
      <c r="G782" s="67"/>
      <c r="H782" s="67"/>
      <c r="I782" s="80"/>
      <c r="J782" s="80"/>
    </row>
    <row r="783" spans="1:10" x14ac:dyDescent="0.3">
      <c r="A783" s="2"/>
      <c r="F783" s="5"/>
      <c r="G783" s="5"/>
      <c r="H783" s="5"/>
      <c r="I783" s="10"/>
      <c r="J783" s="10"/>
    </row>
    <row r="784" spans="1:10" x14ac:dyDescent="0.3">
      <c r="A784" s="3">
        <v>3</v>
      </c>
      <c r="B784" s="3" t="s">
        <v>8</v>
      </c>
      <c r="C784" s="3"/>
      <c r="D784" s="3"/>
      <c r="E784" s="3"/>
      <c r="F784" s="5">
        <f t="shared" ref="F784:J784" si="150">F785</f>
        <v>361500</v>
      </c>
      <c r="G784" s="5">
        <f t="shared" si="150"/>
        <v>235835.78999999998</v>
      </c>
      <c r="H784" s="5">
        <f t="shared" si="150"/>
        <v>394500</v>
      </c>
      <c r="I784" s="5">
        <f t="shared" si="150"/>
        <v>395000</v>
      </c>
      <c r="J784" s="5">
        <f t="shared" si="150"/>
        <v>395000</v>
      </c>
    </row>
    <row r="785" spans="1:12" x14ac:dyDescent="0.3">
      <c r="A785" s="3">
        <v>37</v>
      </c>
      <c r="B785" s="3" t="s">
        <v>433</v>
      </c>
      <c r="C785" s="3"/>
      <c r="D785" s="3"/>
      <c r="E785" s="3"/>
      <c r="F785" s="5">
        <f>F786+F800</f>
        <v>361500</v>
      </c>
      <c r="G785" s="5">
        <f>G786+G800</f>
        <v>235835.78999999998</v>
      </c>
      <c r="H785" s="5">
        <f>H786+H800</f>
        <v>394500</v>
      </c>
      <c r="I785" s="5">
        <v>395000</v>
      </c>
      <c r="J785" s="5">
        <v>395000</v>
      </c>
    </row>
    <row r="786" spans="1:12" x14ac:dyDescent="0.3">
      <c r="A786" s="3">
        <v>372</v>
      </c>
      <c r="B786" s="3" t="s">
        <v>433</v>
      </c>
      <c r="C786" s="3"/>
      <c r="D786" s="3"/>
      <c r="E786" s="3"/>
      <c r="F786" s="5">
        <f>SUM(F787:F799)</f>
        <v>326500</v>
      </c>
      <c r="G786" s="5">
        <f>SUM(G787:G799)</f>
        <v>202025.21</v>
      </c>
      <c r="H786" s="5">
        <f>SUM(H787:H799)</f>
        <v>359500</v>
      </c>
      <c r="I786" s="5"/>
      <c r="J786" s="5"/>
    </row>
    <row r="787" spans="1:12" x14ac:dyDescent="0.3">
      <c r="A787">
        <v>3721</v>
      </c>
      <c r="B787" t="s">
        <v>479</v>
      </c>
      <c r="F787" s="36">
        <v>63000</v>
      </c>
      <c r="G787" s="36"/>
      <c r="H787" s="36">
        <v>60000</v>
      </c>
      <c r="I787" s="10"/>
      <c r="J787" s="10"/>
    </row>
    <row r="788" spans="1:12" x14ac:dyDescent="0.3">
      <c r="A788" s="1">
        <v>3721</v>
      </c>
      <c r="B788" s="1" t="s">
        <v>480</v>
      </c>
      <c r="C788" s="1"/>
      <c r="D788" s="1"/>
      <c r="E788" s="1"/>
      <c r="F788" s="36">
        <v>10000</v>
      </c>
      <c r="G788" s="36">
        <v>11500</v>
      </c>
      <c r="H788" s="36">
        <v>12000</v>
      </c>
      <c r="I788" s="10"/>
      <c r="J788" s="10"/>
    </row>
    <row r="789" spans="1:12" x14ac:dyDescent="0.3">
      <c r="A789" s="1">
        <v>3721</v>
      </c>
      <c r="B789" s="146" t="s">
        <v>481</v>
      </c>
      <c r="C789" s="146"/>
      <c r="D789" s="146"/>
      <c r="E789" s="146"/>
      <c r="F789" s="36"/>
      <c r="G789" s="36"/>
      <c r="H789" s="36">
        <v>40000</v>
      </c>
      <c r="I789" s="10"/>
      <c r="J789" s="10"/>
    </row>
    <row r="790" spans="1:12" x14ac:dyDescent="0.3">
      <c r="A790" s="1">
        <v>3721</v>
      </c>
      <c r="B790" s="1" t="s">
        <v>482</v>
      </c>
      <c r="C790" s="1"/>
      <c r="D790" s="1"/>
      <c r="E790" s="1"/>
      <c r="F790" s="36">
        <v>40000</v>
      </c>
      <c r="G790" s="36">
        <v>18700</v>
      </c>
      <c r="H790" s="36">
        <v>40000</v>
      </c>
      <c r="I790" s="10"/>
      <c r="J790" s="10"/>
    </row>
    <row r="791" spans="1:12" x14ac:dyDescent="0.3">
      <c r="A791">
        <v>3721</v>
      </c>
      <c r="B791" s="1" t="s">
        <v>483</v>
      </c>
      <c r="F791" s="36">
        <v>10500</v>
      </c>
      <c r="G791" s="36">
        <v>10500</v>
      </c>
      <c r="H791" s="36">
        <v>10500</v>
      </c>
      <c r="I791" s="10"/>
      <c r="J791" s="36"/>
      <c r="K791" s="1"/>
      <c r="L791" s="1"/>
    </row>
    <row r="792" spans="1:12" x14ac:dyDescent="0.3">
      <c r="A792" s="1">
        <v>3721</v>
      </c>
      <c r="B792" s="1" t="s">
        <v>484</v>
      </c>
      <c r="C792" s="1"/>
      <c r="D792" s="1"/>
      <c r="E792" s="1"/>
      <c r="F792" s="36">
        <v>40000</v>
      </c>
      <c r="G792" s="36">
        <v>36000</v>
      </c>
      <c r="H792" s="36">
        <v>40000</v>
      </c>
      <c r="I792" s="10"/>
      <c r="J792" s="10"/>
    </row>
    <row r="793" spans="1:12" x14ac:dyDescent="0.3">
      <c r="A793" s="1">
        <v>3721</v>
      </c>
      <c r="B793" s="1" t="s">
        <v>485</v>
      </c>
      <c r="C793" s="1"/>
      <c r="D793" s="1"/>
      <c r="E793" s="1"/>
      <c r="F793" s="36">
        <v>100000</v>
      </c>
      <c r="G793" s="36">
        <v>85000</v>
      </c>
      <c r="H793" s="36">
        <v>80000</v>
      </c>
      <c r="I793" s="10"/>
      <c r="J793" s="10"/>
    </row>
    <row r="794" spans="1:12" x14ac:dyDescent="0.3">
      <c r="A794" s="1">
        <v>3721</v>
      </c>
      <c r="B794" s="1" t="s">
        <v>486</v>
      </c>
      <c r="C794" s="1"/>
      <c r="D794" s="1"/>
      <c r="E794" s="1"/>
      <c r="F794" s="36">
        <v>15000</v>
      </c>
      <c r="G794" s="36">
        <v>8405</v>
      </c>
      <c r="H794" s="36">
        <v>14000</v>
      </c>
      <c r="I794" s="10"/>
      <c r="J794" s="10"/>
    </row>
    <row r="795" spans="1:12" x14ac:dyDescent="0.3">
      <c r="A795" s="1">
        <v>3721</v>
      </c>
      <c r="B795" s="1" t="s">
        <v>487</v>
      </c>
      <c r="C795" s="1"/>
      <c r="D795" s="1"/>
      <c r="E795" s="1"/>
      <c r="F795" s="36">
        <v>5000</v>
      </c>
      <c r="G795" s="36">
        <v>500</v>
      </c>
      <c r="H795" s="36">
        <v>5000</v>
      </c>
      <c r="I795" s="10"/>
      <c r="J795" s="5"/>
      <c r="K795" s="3"/>
      <c r="L795" s="3"/>
    </row>
    <row r="796" spans="1:12" s="1" customFormat="1" x14ac:dyDescent="0.3">
      <c r="B796" s="1" t="s">
        <v>488</v>
      </c>
      <c r="F796" s="36"/>
      <c r="G796" s="36"/>
      <c r="H796" s="36"/>
      <c r="I796" s="36"/>
      <c r="J796" s="10"/>
      <c r="K796"/>
      <c r="L796"/>
    </row>
    <row r="797" spans="1:12" x14ac:dyDescent="0.3">
      <c r="A797" s="1">
        <v>3721</v>
      </c>
      <c r="B797" s="1" t="s">
        <v>489</v>
      </c>
      <c r="C797" s="1"/>
      <c r="D797" s="1"/>
      <c r="E797" s="1"/>
      <c r="F797" s="36">
        <v>35000</v>
      </c>
      <c r="G797" s="36">
        <v>29100</v>
      </c>
      <c r="H797" s="36">
        <v>35000</v>
      </c>
      <c r="I797" s="10"/>
      <c r="J797" s="10"/>
    </row>
    <row r="798" spans="1:12" x14ac:dyDescent="0.3">
      <c r="A798" s="1">
        <v>3721</v>
      </c>
      <c r="B798" s="146" t="s">
        <v>490</v>
      </c>
      <c r="C798" s="146"/>
      <c r="D798" s="146"/>
      <c r="E798" s="146"/>
      <c r="F798" s="36"/>
      <c r="G798" s="36"/>
      <c r="H798" s="36">
        <v>17000</v>
      </c>
      <c r="I798" s="10"/>
      <c r="J798" s="10"/>
    </row>
    <row r="799" spans="1:12" x14ac:dyDescent="0.3">
      <c r="A799" s="1">
        <v>3721</v>
      </c>
      <c r="B799" s="1" t="s">
        <v>491</v>
      </c>
      <c r="F799" s="36">
        <v>8000</v>
      </c>
      <c r="G799" s="36">
        <v>2320.21</v>
      </c>
      <c r="H799" s="36">
        <v>6000</v>
      </c>
      <c r="I799" s="10"/>
      <c r="J799" s="10"/>
    </row>
    <row r="800" spans="1:12" x14ac:dyDescent="0.3">
      <c r="A800" s="3">
        <v>37</v>
      </c>
      <c r="B800" s="3" t="s">
        <v>433</v>
      </c>
      <c r="F800" s="5">
        <f t="shared" ref="F800:H800" si="151">F802</f>
        <v>35000</v>
      </c>
      <c r="G800" s="5">
        <f t="shared" si="151"/>
        <v>33810.58</v>
      </c>
      <c r="H800" s="5">
        <f t="shared" si="151"/>
        <v>35000</v>
      </c>
      <c r="I800" s="5">
        <v>35000</v>
      </c>
      <c r="J800" s="5">
        <v>35000</v>
      </c>
      <c r="K800" s="1"/>
      <c r="L800" s="1"/>
    </row>
    <row r="801" spans="1:12" s="3" customFormat="1" x14ac:dyDescent="0.3">
      <c r="A801" s="3">
        <v>372</v>
      </c>
      <c r="B801" s="3" t="s">
        <v>492</v>
      </c>
      <c r="F801" s="5">
        <f t="shared" ref="F801:H801" si="152">F802</f>
        <v>35000</v>
      </c>
      <c r="G801" s="5">
        <f t="shared" si="152"/>
        <v>33810.58</v>
      </c>
      <c r="H801" s="5">
        <f t="shared" si="152"/>
        <v>35000</v>
      </c>
      <c r="I801" s="5"/>
      <c r="J801" s="5"/>
      <c r="K801"/>
      <c r="L801"/>
    </row>
    <row r="802" spans="1:12" x14ac:dyDescent="0.3">
      <c r="A802">
        <v>3722</v>
      </c>
      <c r="B802" s="1" t="s">
        <v>493</v>
      </c>
      <c r="F802" s="36">
        <v>35000</v>
      </c>
      <c r="G802" s="36">
        <v>33810.58</v>
      </c>
      <c r="H802" s="36">
        <v>35000</v>
      </c>
      <c r="I802" s="10"/>
      <c r="J802" s="10"/>
    </row>
    <row r="803" spans="1:12" x14ac:dyDescent="0.3">
      <c r="B803" s="1"/>
      <c r="F803" s="5"/>
      <c r="G803" s="5"/>
      <c r="H803" s="5"/>
      <c r="I803" s="10"/>
      <c r="J803" s="10"/>
    </row>
    <row r="804" spans="1:12" x14ac:dyDescent="0.3">
      <c r="A804" s="68" t="s">
        <v>494</v>
      </c>
      <c r="B804" s="69"/>
      <c r="C804" s="69"/>
      <c r="D804" s="69"/>
      <c r="E804" s="69"/>
      <c r="F804" s="70">
        <f t="shared" ref="F804:J804" si="153">F807</f>
        <v>8000</v>
      </c>
      <c r="G804" s="70">
        <f t="shared" si="153"/>
        <v>0</v>
      </c>
      <c r="H804" s="70">
        <f t="shared" si="153"/>
        <v>10000</v>
      </c>
      <c r="I804" s="70">
        <f t="shared" si="153"/>
        <v>10000</v>
      </c>
      <c r="J804" s="70">
        <f t="shared" si="153"/>
        <v>10000</v>
      </c>
    </row>
    <row r="805" spans="1:12" s="1" customFormat="1" x14ac:dyDescent="0.3">
      <c r="A805" s="142" t="s">
        <v>132</v>
      </c>
      <c r="B805" s="142"/>
      <c r="C805" s="142"/>
      <c r="D805" s="142"/>
      <c r="E805" s="142"/>
      <c r="F805" s="67"/>
      <c r="G805" s="67"/>
      <c r="H805" s="67"/>
      <c r="I805" s="67"/>
      <c r="J805" s="80"/>
      <c r="K805"/>
      <c r="L805"/>
    </row>
    <row r="806" spans="1:12" x14ac:dyDescent="0.3">
      <c r="A806" s="2"/>
      <c r="F806" s="5"/>
      <c r="G806" s="5"/>
      <c r="H806" s="5"/>
      <c r="I806" s="10"/>
      <c r="J806" s="10"/>
    </row>
    <row r="807" spans="1:12" x14ac:dyDescent="0.3">
      <c r="A807" s="3">
        <v>37</v>
      </c>
      <c r="B807" s="3" t="s">
        <v>433</v>
      </c>
      <c r="C807" s="3"/>
      <c r="D807" s="3"/>
      <c r="E807" s="3"/>
      <c r="F807" s="5">
        <f t="shared" ref="F807:H808" si="154">F808</f>
        <v>8000</v>
      </c>
      <c r="G807" s="5">
        <f t="shared" si="154"/>
        <v>0</v>
      </c>
      <c r="H807" s="5">
        <f t="shared" si="154"/>
        <v>10000</v>
      </c>
      <c r="I807" s="5">
        <v>10000</v>
      </c>
      <c r="J807" s="5">
        <v>10000</v>
      </c>
    </row>
    <row r="808" spans="1:12" x14ac:dyDescent="0.3">
      <c r="A808" s="3">
        <v>372</v>
      </c>
      <c r="B808" s="3" t="s">
        <v>495</v>
      </c>
      <c r="C808" s="3"/>
      <c r="D808" s="3"/>
      <c r="E808" s="3"/>
      <c r="F808" s="5">
        <f t="shared" si="154"/>
        <v>8000</v>
      </c>
      <c r="G808" s="5">
        <f t="shared" si="154"/>
        <v>0</v>
      </c>
      <c r="H808" s="5">
        <f t="shared" si="154"/>
        <v>10000</v>
      </c>
      <c r="I808" s="5"/>
      <c r="J808" s="5"/>
      <c r="K808" s="1"/>
      <c r="L808" s="1"/>
    </row>
    <row r="809" spans="1:12" x14ac:dyDescent="0.3">
      <c r="A809">
        <v>3722</v>
      </c>
      <c r="B809" s="1" t="s">
        <v>496</v>
      </c>
      <c r="F809" s="36">
        <v>8000</v>
      </c>
      <c r="G809" s="36"/>
      <c r="H809" s="36">
        <v>10000</v>
      </c>
      <c r="I809" s="10"/>
      <c r="J809" s="36"/>
      <c r="K809" s="3"/>
      <c r="L809" s="3"/>
    </row>
    <row r="810" spans="1:12" x14ac:dyDescent="0.3">
      <c r="B810" s="1"/>
      <c r="F810" s="36"/>
      <c r="G810" s="36"/>
      <c r="H810" s="36"/>
      <c r="I810" s="10"/>
      <c r="J810" s="36"/>
      <c r="K810" s="3"/>
      <c r="L810" s="3"/>
    </row>
    <row r="811" spans="1:12" x14ac:dyDescent="0.3">
      <c r="B811" s="1"/>
      <c r="F811" s="5"/>
      <c r="G811" s="5"/>
      <c r="H811" s="5"/>
      <c r="I811" s="10"/>
      <c r="J811" s="10"/>
    </row>
    <row r="812" spans="1:12" x14ac:dyDescent="0.3">
      <c r="A812" s="68" t="s">
        <v>535</v>
      </c>
      <c r="B812" s="68"/>
      <c r="C812" s="68"/>
      <c r="D812" s="68"/>
      <c r="E812" s="68"/>
      <c r="F812" s="76">
        <f>F816</f>
        <v>146800</v>
      </c>
      <c r="G812" s="76">
        <f>G816</f>
        <v>82411.490000000005</v>
      </c>
      <c r="H812" s="76">
        <f>H816</f>
        <v>22000</v>
      </c>
      <c r="I812" s="76">
        <f t="shared" ref="I812:J812" si="155">I816</f>
        <v>0</v>
      </c>
      <c r="J812" s="76">
        <f t="shared" si="155"/>
        <v>0</v>
      </c>
    </row>
    <row r="813" spans="1:12" x14ac:dyDescent="0.3">
      <c r="A813" s="68"/>
      <c r="B813" s="68" t="s">
        <v>497</v>
      </c>
      <c r="C813" s="68"/>
      <c r="D813" s="68"/>
      <c r="E813" s="68"/>
      <c r="F813" s="76"/>
      <c r="G813" s="76"/>
      <c r="H813" s="76"/>
      <c r="I813" s="88"/>
      <c r="J813" s="88"/>
    </row>
    <row r="814" spans="1:12" s="1" customFormat="1" ht="13.8" x14ac:dyDescent="0.25">
      <c r="A814" s="144" t="s">
        <v>263</v>
      </c>
      <c r="B814" s="144"/>
      <c r="C814" s="144"/>
      <c r="D814" s="144"/>
      <c r="E814" s="144"/>
      <c r="F814" s="67"/>
      <c r="G814" s="67"/>
      <c r="H814" s="67"/>
      <c r="I814" s="67"/>
      <c r="J814" s="84"/>
      <c r="K814" s="2"/>
      <c r="L814" s="2"/>
    </row>
    <row r="815" spans="1:12" s="3" customFormat="1" ht="13.8" x14ac:dyDescent="0.25">
      <c r="F815" s="5"/>
      <c r="G815" s="5"/>
      <c r="H815" s="5"/>
      <c r="I815" s="5"/>
      <c r="J815" s="35"/>
      <c r="K815" s="2"/>
      <c r="L815" s="2"/>
    </row>
    <row r="816" spans="1:12" x14ac:dyDescent="0.3">
      <c r="A816" s="3">
        <v>3</v>
      </c>
      <c r="B816" s="3" t="s">
        <v>8</v>
      </c>
      <c r="C816" s="3"/>
      <c r="D816" s="3"/>
      <c r="E816" s="3"/>
      <c r="F816" s="5">
        <f>F817+F826</f>
        <v>146800</v>
      </c>
      <c r="G816" s="5">
        <f>G817+G826</f>
        <v>82411.490000000005</v>
      </c>
      <c r="H816" s="5">
        <f>H817+H826</f>
        <v>22000</v>
      </c>
      <c r="I816" s="5">
        <f t="shared" ref="I816:J816" si="156">I817+I826</f>
        <v>0</v>
      </c>
      <c r="J816" s="5">
        <f t="shared" si="156"/>
        <v>0</v>
      </c>
      <c r="K816" s="2"/>
      <c r="L816" s="2"/>
    </row>
    <row r="817" spans="1:12" x14ac:dyDescent="0.3">
      <c r="A817" s="3">
        <v>31</v>
      </c>
      <c r="B817" s="3" t="s">
        <v>134</v>
      </c>
      <c r="C817" s="3"/>
      <c r="D817" s="3"/>
      <c r="E817" s="3"/>
      <c r="F817" s="5">
        <f>F818+F823+F821</f>
        <v>140000</v>
      </c>
      <c r="G817" s="5">
        <f>G818+G823+G821</f>
        <v>81931.490000000005</v>
      </c>
      <c r="H817" s="5">
        <f>H818+H823+H821</f>
        <v>22000</v>
      </c>
      <c r="I817" s="5">
        <f t="shared" ref="I817:J817" si="157">I818+I823+I821</f>
        <v>0</v>
      </c>
      <c r="J817" s="5">
        <f t="shared" si="157"/>
        <v>0</v>
      </c>
      <c r="K817" s="2"/>
      <c r="L817" s="2"/>
    </row>
    <row r="818" spans="1:12" x14ac:dyDescent="0.3">
      <c r="A818" s="3">
        <v>311</v>
      </c>
      <c r="B818" s="3" t="s">
        <v>498</v>
      </c>
      <c r="C818" s="3"/>
      <c r="D818" s="3"/>
      <c r="E818" s="3"/>
      <c r="F818" s="5">
        <f t="shared" ref="F818:H818" si="158">SUM(F819:F820)</f>
        <v>95500</v>
      </c>
      <c r="G818" s="5">
        <f t="shared" si="158"/>
        <v>70327.47</v>
      </c>
      <c r="H818" s="5">
        <f t="shared" si="158"/>
        <v>18800</v>
      </c>
      <c r="I818" s="5"/>
      <c r="J818" s="5"/>
      <c r="K818" s="2"/>
      <c r="L818" s="2"/>
    </row>
    <row r="819" spans="1:12" s="2" customFormat="1" ht="13.8" x14ac:dyDescent="0.25">
      <c r="A819" s="1">
        <v>3111</v>
      </c>
      <c r="B819" s="1" t="s">
        <v>499</v>
      </c>
      <c r="C819" s="1"/>
      <c r="D819" s="1"/>
      <c r="E819" s="1"/>
      <c r="F819" s="36">
        <v>89000</v>
      </c>
      <c r="G819" s="36">
        <f>56261.98+14065.49</f>
        <v>70327.47</v>
      </c>
      <c r="H819" s="36">
        <v>18800</v>
      </c>
      <c r="I819" s="35"/>
      <c r="J819" s="5"/>
      <c r="K819" s="3">
        <f>4700*2*2</f>
        <v>18800</v>
      </c>
      <c r="L819" s="3" t="s">
        <v>500</v>
      </c>
    </row>
    <row r="820" spans="1:12" s="2" customFormat="1" ht="13.8" x14ac:dyDescent="0.25">
      <c r="A820" s="1">
        <v>3111</v>
      </c>
      <c r="B820" s="1" t="s">
        <v>501</v>
      </c>
      <c r="C820" s="1"/>
      <c r="D820" s="1"/>
      <c r="E820" s="1"/>
      <c r="F820" s="36">
        <v>6500</v>
      </c>
      <c r="G820" s="36"/>
      <c r="H820" s="36"/>
      <c r="I820" s="35"/>
      <c r="J820" s="5"/>
      <c r="K820" s="3"/>
      <c r="L820" s="3"/>
    </row>
    <row r="821" spans="1:12" s="2" customFormat="1" ht="13.8" x14ac:dyDescent="0.25">
      <c r="A821" s="3">
        <v>312</v>
      </c>
      <c r="B821" s="3" t="s">
        <v>182</v>
      </c>
      <c r="C821" s="3"/>
      <c r="D821" s="3"/>
      <c r="E821" s="3"/>
      <c r="F821" s="5">
        <f t="shared" ref="F821:H821" si="159">F822</f>
        <v>26500</v>
      </c>
      <c r="G821" s="5">
        <f t="shared" si="159"/>
        <v>0</v>
      </c>
      <c r="H821" s="5">
        <f t="shared" si="159"/>
        <v>0</v>
      </c>
      <c r="I821" s="5"/>
      <c r="J821" s="5"/>
      <c r="K821" s="3" t="s">
        <v>502</v>
      </c>
      <c r="L821" s="3"/>
    </row>
    <row r="822" spans="1:12" s="2" customFormat="1" ht="13.8" x14ac:dyDescent="0.25">
      <c r="A822" s="1">
        <v>3121</v>
      </c>
      <c r="B822" s="1" t="s">
        <v>503</v>
      </c>
      <c r="C822" s="1"/>
      <c r="D822" s="1"/>
      <c r="E822" s="1"/>
      <c r="F822" s="36">
        <v>26500</v>
      </c>
      <c r="G822" s="36"/>
      <c r="H822" s="36"/>
      <c r="I822" s="35"/>
      <c r="J822" s="36"/>
      <c r="K822" s="1"/>
      <c r="L822" s="1"/>
    </row>
    <row r="823" spans="1:12" s="3" customFormat="1" ht="13.2" x14ac:dyDescent="0.25">
      <c r="A823" s="3">
        <v>313</v>
      </c>
      <c r="B823" s="3" t="s">
        <v>138</v>
      </c>
      <c r="F823" s="5">
        <f t="shared" ref="F823:H823" si="160">SUM(F824:F825)</f>
        <v>18000</v>
      </c>
      <c r="G823" s="5">
        <f t="shared" si="160"/>
        <v>11604.02</v>
      </c>
      <c r="H823" s="5">
        <f t="shared" si="160"/>
        <v>3200</v>
      </c>
      <c r="I823" s="5"/>
      <c r="J823" s="5"/>
    </row>
    <row r="824" spans="1:12" s="3" customFormat="1" ht="13.2" x14ac:dyDescent="0.25">
      <c r="A824" s="1">
        <v>3131</v>
      </c>
      <c r="B824" s="1" t="s">
        <v>139</v>
      </c>
      <c r="C824" s="1"/>
      <c r="D824" s="1"/>
      <c r="E824" s="1"/>
      <c r="F824" s="36">
        <v>15000</v>
      </c>
      <c r="G824" s="36">
        <v>11604.02</v>
      </c>
      <c r="H824" s="36">
        <v>3200</v>
      </c>
      <c r="I824" s="5"/>
      <c r="J824" s="5"/>
      <c r="K824" s="3">
        <f>18800*16.5/100</f>
        <v>3102</v>
      </c>
    </row>
    <row r="825" spans="1:12" s="3" customFormat="1" ht="13.2" x14ac:dyDescent="0.25">
      <c r="A825" s="1">
        <v>3131</v>
      </c>
      <c r="B825" s="1" t="s">
        <v>504</v>
      </c>
      <c r="C825" s="1"/>
      <c r="D825" s="1"/>
      <c r="E825" s="1"/>
      <c r="F825" s="36">
        <v>3000</v>
      </c>
      <c r="G825" s="36"/>
      <c r="H825" s="36"/>
      <c r="I825" s="5"/>
      <c r="J825" s="36"/>
      <c r="K825" s="1"/>
      <c r="L825" s="1"/>
    </row>
    <row r="826" spans="1:12" s="1" customFormat="1" ht="13.2" x14ac:dyDescent="0.25">
      <c r="A826" s="3">
        <v>32</v>
      </c>
      <c r="B826" s="3" t="s">
        <v>140</v>
      </c>
      <c r="C826" s="3"/>
      <c r="D826" s="3"/>
      <c r="E826" s="3"/>
      <c r="F826" s="5">
        <f t="shared" ref="F826:H826" si="161">F827</f>
        <v>6800</v>
      </c>
      <c r="G826" s="5">
        <f t="shared" si="161"/>
        <v>480</v>
      </c>
      <c r="H826" s="5">
        <f t="shared" si="161"/>
        <v>0</v>
      </c>
      <c r="I826" s="36"/>
      <c r="J826" s="36"/>
    </row>
    <row r="827" spans="1:12" s="1" customFormat="1" ht="13.2" x14ac:dyDescent="0.25">
      <c r="A827" s="3">
        <v>321</v>
      </c>
      <c r="B827" s="3" t="s">
        <v>141</v>
      </c>
      <c r="C827" s="3"/>
      <c r="D827" s="3"/>
      <c r="E827" s="3"/>
      <c r="F827" s="5">
        <f t="shared" ref="F827:H827" si="162">SUM(F828:F830)</f>
        <v>6800</v>
      </c>
      <c r="G827" s="5">
        <f t="shared" si="162"/>
        <v>480</v>
      </c>
      <c r="H827" s="5">
        <f t="shared" si="162"/>
        <v>0</v>
      </c>
      <c r="I827" s="36"/>
      <c r="J827" s="5"/>
      <c r="K827" s="3"/>
      <c r="L827" s="3"/>
    </row>
    <row r="828" spans="1:12" s="3" customFormat="1" ht="13.2" x14ac:dyDescent="0.25">
      <c r="A828" s="1">
        <v>3211</v>
      </c>
      <c r="B828" s="1" t="s">
        <v>505</v>
      </c>
      <c r="C828" s="1"/>
      <c r="D828" s="1"/>
      <c r="E828" s="1"/>
      <c r="F828" s="36">
        <v>1000</v>
      </c>
      <c r="G828" s="36">
        <v>180</v>
      </c>
      <c r="H828" s="36"/>
      <c r="I828" s="5"/>
      <c r="J828" s="5"/>
    </row>
    <row r="829" spans="1:12" s="3" customFormat="1" ht="13.2" x14ac:dyDescent="0.25">
      <c r="A829" s="1">
        <v>3212</v>
      </c>
      <c r="B829" s="1" t="s">
        <v>396</v>
      </c>
      <c r="C829" s="1"/>
      <c r="D829" s="1"/>
      <c r="E829" s="1"/>
      <c r="F829" s="36">
        <v>1800</v>
      </c>
      <c r="G829" s="36">
        <v>300</v>
      </c>
      <c r="H829" s="36"/>
      <c r="I829" s="5"/>
      <c r="J829" s="36"/>
      <c r="K829" s="1"/>
      <c r="L829" s="1"/>
    </row>
    <row r="830" spans="1:12" s="1" customFormat="1" ht="13.2" x14ac:dyDescent="0.25">
      <c r="A830" s="1">
        <v>3227</v>
      </c>
      <c r="B830" s="1" t="s">
        <v>506</v>
      </c>
      <c r="F830" s="36">
        <v>4000</v>
      </c>
      <c r="G830" s="5"/>
      <c r="H830" s="36"/>
      <c r="I830" s="36"/>
      <c r="J830" s="36"/>
    </row>
    <row r="831" spans="1:12" s="1" customFormat="1" x14ac:dyDescent="0.3">
      <c r="A831"/>
      <c r="C831"/>
      <c r="D831"/>
      <c r="E831"/>
      <c r="F831" s="5"/>
      <c r="G831" s="5"/>
      <c r="H831" s="5"/>
      <c r="I831" s="36"/>
      <c r="J831" s="36"/>
    </row>
    <row r="832" spans="1:12" s="3" customFormat="1" ht="13.2" x14ac:dyDescent="0.25">
      <c r="A832" s="143" t="s">
        <v>534</v>
      </c>
      <c r="B832" s="143"/>
      <c r="C832" s="143"/>
      <c r="D832" s="143"/>
      <c r="E832" s="143"/>
      <c r="F832" s="78">
        <f>F835</f>
        <v>45000</v>
      </c>
      <c r="G832" s="78">
        <f>G835</f>
        <v>14853.75</v>
      </c>
      <c r="H832" s="78">
        <f t="shared" ref="H832:J832" si="163">H835</f>
        <v>131800</v>
      </c>
      <c r="I832" s="78">
        <f t="shared" si="163"/>
        <v>0</v>
      </c>
      <c r="J832" s="78">
        <f t="shared" si="163"/>
        <v>0</v>
      </c>
      <c r="K832" s="1"/>
      <c r="L832" s="1"/>
    </row>
    <row r="833" spans="1:12" s="28" customFormat="1" x14ac:dyDescent="0.3">
      <c r="A833" s="144" t="s">
        <v>507</v>
      </c>
      <c r="B833" s="145"/>
      <c r="C833" s="145"/>
      <c r="D833" s="145"/>
      <c r="E833" s="145"/>
      <c r="F833" s="85"/>
      <c r="G833" s="85"/>
      <c r="H833" s="85"/>
      <c r="I833" s="67"/>
      <c r="J833" s="85"/>
      <c r="K833" s="3"/>
      <c r="L833" s="3"/>
    </row>
    <row r="834" spans="1:12" s="1" customFormat="1" x14ac:dyDescent="0.3">
      <c r="A834"/>
      <c r="C834"/>
      <c r="D834"/>
      <c r="E834"/>
      <c r="F834" s="5"/>
      <c r="G834" s="5"/>
      <c r="H834" s="5"/>
      <c r="I834" s="36"/>
      <c r="J834" s="5"/>
      <c r="K834" s="3"/>
      <c r="L834" s="3"/>
    </row>
    <row r="835" spans="1:12" s="1" customFormat="1" ht="13.2" x14ac:dyDescent="0.25">
      <c r="A835" s="3">
        <v>3</v>
      </c>
      <c r="B835" s="140" t="s">
        <v>8</v>
      </c>
      <c r="C835" s="140"/>
      <c r="D835" s="140"/>
      <c r="E835" s="140"/>
      <c r="F835" s="5">
        <f>F837+F838+F840</f>
        <v>45000</v>
      </c>
      <c r="G835" s="5">
        <f>G837+G838</f>
        <v>14853.75</v>
      </c>
      <c r="H835" s="5">
        <f>H837+H838</f>
        <v>131800</v>
      </c>
      <c r="I835" s="5">
        <f t="shared" ref="I835:J835" si="164">I837+I838</f>
        <v>0</v>
      </c>
      <c r="J835" s="5">
        <f t="shared" si="164"/>
        <v>0</v>
      </c>
      <c r="K835" s="3" t="s">
        <v>508</v>
      </c>
      <c r="L835" s="3"/>
    </row>
    <row r="836" spans="1:12" s="1" customFormat="1" ht="13.2" x14ac:dyDescent="0.25">
      <c r="A836" s="3">
        <v>31</v>
      </c>
      <c r="B836" s="140" t="s">
        <v>134</v>
      </c>
      <c r="C836" s="140"/>
      <c r="D836" s="140"/>
      <c r="E836" s="140"/>
      <c r="F836" s="5"/>
      <c r="G836" s="5"/>
      <c r="H836" s="5"/>
      <c r="I836" s="36"/>
      <c r="J836" s="5"/>
      <c r="K836" s="3"/>
      <c r="L836" s="3"/>
    </row>
    <row r="837" spans="1:12" s="1" customFormat="1" x14ac:dyDescent="0.3">
      <c r="A837">
        <v>3111</v>
      </c>
      <c r="B837" s="141" t="s">
        <v>509</v>
      </c>
      <c r="C837" s="141"/>
      <c r="D837" s="141"/>
      <c r="E837" s="141"/>
      <c r="F837" s="5">
        <v>38250</v>
      </c>
      <c r="G837" s="5">
        <f>10200+2550</f>
        <v>12750</v>
      </c>
      <c r="H837" s="5">
        <f>4700*3*8</f>
        <v>112800</v>
      </c>
      <c r="I837" s="5"/>
      <c r="J837" s="5"/>
      <c r="K837" s="3"/>
      <c r="L837" s="3"/>
    </row>
    <row r="838" spans="1:12" s="3" customFormat="1" x14ac:dyDescent="0.3">
      <c r="A838">
        <v>3131</v>
      </c>
      <c r="B838" s="141" t="s">
        <v>510</v>
      </c>
      <c r="C838" s="141"/>
      <c r="D838" s="141"/>
      <c r="E838" s="141"/>
      <c r="F838" s="5">
        <v>6320</v>
      </c>
      <c r="G838" s="36">
        <v>2103.75</v>
      </c>
      <c r="H838" s="36">
        <v>19000</v>
      </c>
      <c r="I838" s="5"/>
      <c r="J838" s="5"/>
    </row>
    <row r="839" spans="1:12" s="3" customFormat="1" ht="13.2" x14ac:dyDescent="0.25">
      <c r="A839" s="3">
        <v>32</v>
      </c>
      <c r="B839" s="140" t="s">
        <v>140</v>
      </c>
      <c r="C839" s="140"/>
      <c r="D839" s="140"/>
      <c r="E839" s="140"/>
      <c r="F839" s="5">
        <f>F840</f>
        <v>430</v>
      </c>
      <c r="G839" s="5">
        <f>G840</f>
        <v>0</v>
      </c>
      <c r="H839" s="5">
        <f>H840</f>
        <v>0</v>
      </c>
      <c r="I839" s="5"/>
      <c r="J839" s="5"/>
      <c r="K839" s="1"/>
      <c r="L839" s="1"/>
    </row>
    <row r="840" spans="1:12" s="3" customFormat="1" x14ac:dyDescent="0.3">
      <c r="A840">
        <v>3212</v>
      </c>
      <c r="B840" s="141" t="s">
        <v>511</v>
      </c>
      <c r="C840" s="141"/>
      <c r="D840" s="141"/>
      <c r="E840" s="141"/>
      <c r="F840" s="5">
        <v>430</v>
      </c>
      <c r="G840" s="36"/>
      <c r="H840" s="36"/>
      <c r="I840" s="5"/>
      <c r="J840" s="36"/>
      <c r="K840" s="1"/>
      <c r="L840" s="1"/>
    </row>
    <row r="841" spans="1:12" s="3" customFormat="1" x14ac:dyDescent="0.3">
      <c r="A841"/>
      <c r="B841" s="124"/>
      <c r="C841" s="124"/>
      <c r="D841" s="124"/>
      <c r="E841" s="124"/>
      <c r="F841" s="5"/>
      <c r="G841" s="5"/>
      <c r="H841" s="5"/>
      <c r="I841" s="5"/>
      <c r="J841" s="10"/>
      <c r="K841"/>
      <c r="L841"/>
    </row>
    <row r="842" spans="1:12" s="3" customFormat="1" x14ac:dyDescent="0.3">
      <c r="A842" s="61" t="s">
        <v>512</v>
      </c>
      <c r="B842" s="61"/>
      <c r="C842" s="61"/>
      <c r="D842" s="61"/>
      <c r="E842" s="61"/>
      <c r="F842" s="62">
        <f t="shared" ref="F842:G842" si="165">F844+F855</f>
        <v>49500</v>
      </c>
      <c r="G842" s="62">
        <f t="shared" si="165"/>
        <v>12307.61</v>
      </c>
      <c r="H842" s="62">
        <f>H844+H855</f>
        <v>98500</v>
      </c>
      <c r="I842" s="62">
        <f>I844+I855</f>
        <v>99000</v>
      </c>
      <c r="J842" s="62">
        <f>J844+J855</f>
        <v>99000</v>
      </c>
      <c r="K842"/>
      <c r="L842"/>
    </row>
    <row r="843" spans="1:12" s="3" customFormat="1" x14ac:dyDescent="0.3">
      <c r="A843" s="63" t="s">
        <v>477</v>
      </c>
      <c r="B843" s="63"/>
      <c r="C843" s="63"/>
      <c r="D843" s="63"/>
      <c r="E843" s="63"/>
      <c r="F843" s="83"/>
      <c r="G843" s="83"/>
      <c r="H843" s="83"/>
      <c r="I843" s="83"/>
      <c r="J843" s="64"/>
      <c r="K843"/>
      <c r="L843"/>
    </row>
    <row r="844" spans="1:12" s="1" customFormat="1" x14ac:dyDescent="0.3">
      <c r="A844" s="68" t="s">
        <v>513</v>
      </c>
      <c r="B844" s="69"/>
      <c r="C844" s="69"/>
      <c r="D844" s="69"/>
      <c r="E844" s="69"/>
      <c r="F844" s="70">
        <f t="shared" ref="F844:J844" si="166">F847</f>
        <v>19500</v>
      </c>
      <c r="G844" s="70">
        <f t="shared" si="166"/>
        <v>12307.61</v>
      </c>
      <c r="H844" s="70">
        <f t="shared" si="166"/>
        <v>23500</v>
      </c>
      <c r="I844" s="70">
        <f t="shared" si="166"/>
        <v>24000</v>
      </c>
      <c r="J844" s="70">
        <f t="shared" si="166"/>
        <v>24000</v>
      </c>
      <c r="K844"/>
      <c r="L844"/>
    </row>
    <row r="845" spans="1:12" s="1" customFormat="1" x14ac:dyDescent="0.3">
      <c r="A845" s="142" t="s">
        <v>132</v>
      </c>
      <c r="B845" s="142"/>
      <c r="C845" s="142"/>
      <c r="D845" s="142"/>
      <c r="E845" s="142"/>
      <c r="F845" s="67"/>
      <c r="G845" s="67"/>
      <c r="H845" s="67"/>
      <c r="I845" s="67"/>
      <c r="J845" s="80"/>
      <c r="K845"/>
      <c r="L845"/>
    </row>
    <row r="846" spans="1:12" x14ac:dyDescent="0.3">
      <c r="B846" s="1"/>
      <c r="F846" s="5"/>
      <c r="G846" s="5"/>
      <c r="H846" s="5"/>
      <c r="I846" s="10"/>
      <c r="J846" s="10"/>
    </row>
    <row r="847" spans="1:12" x14ac:dyDescent="0.3">
      <c r="A847" s="3">
        <v>38</v>
      </c>
      <c r="B847" s="3" t="s">
        <v>445</v>
      </c>
      <c r="C847" s="3"/>
      <c r="D847" s="3"/>
      <c r="E847" s="3"/>
      <c r="F847" s="5">
        <f t="shared" ref="F847:H847" si="167">F848</f>
        <v>19500</v>
      </c>
      <c r="G847" s="5">
        <f t="shared" si="167"/>
        <v>12307.61</v>
      </c>
      <c r="H847" s="5">
        <f t="shared" si="167"/>
        <v>23500</v>
      </c>
      <c r="I847" s="5">
        <v>24000</v>
      </c>
      <c r="J847" s="5">
        <v>24000</v>
      </c>
    </row>
    <row r="848" spans="1:12" x14ac:dyDescent="0.3">
      <c r="A848" s="3">
        <v>381</v>
      </c>
      <c r="B848" s="3" t="s">
        <v>159</v>
      </c>
      <c r="C848" s="3"/>
      <c r="D848" s="3"/>
      <c r="E848" s="3"/>
      <c r="F848" s="5">
        <f t="shared" ref="F848:H848" si="168">SUM(F849:F852)</f>
        <v>19500</v>
      </c>
      <c r="G848" s="5">
        <f t="shared" si="168"/>
        <v>12307.61</v>
      </c>
      <c r="H848" s="5">
        <f t="shared" si="168"/>
        <v>23500</v>
      </c>
      <c r="I848" s="5"/>
      <c r="J848" s="5"/>
    </row>
    <row r="849" spans="1:12" x14ac:dyDescent="0.3">
      <c r="A849">
        <v>3811</v>
      </c>
      <c r="B849" s="1" t="s">
        <v>514</v>
      </c>
      <c r="E849" t="s">
        <v>515</v>
      </c>
      <c r="F849" s="36">
        <v>12000</v>
      </c>
      <c r="G849" s="36">
        <f>1641+5000</f>
        <v>6641</v>
      </c>
      <c r="H849" s="36">
        <v>16000</v>
      </c>
      <c r="I849" s="10"/>
      <c r="J849" s="5"/>
      <c r="K849" s="3"/>
      <c r="L849" s="3"/>
    </row>
    <row r="850" spans="1:12" x14ac:dyDescent="0.3">
      <c r="A850">
        <v>3811</v>
      </c>
      <c r="B850" s="1" t="s">
        <v>516</v>
      </c>
      <c r="F850" s="36">
        <v>5000</v>
      </c>
      <c r="G850" s="36">
        <v>4166.6099999999997</v>
      </c>
      <c r="H850" s="36">
        <v>5000</v>
      </c>
      <c r="I850" s="10"/>
      <c r="J850" s="5"/>
      <c r="K850" s="3"/>
      <c r="L850" s="3"/>
    </row>
    <row r="851" spans="1:12" x14ac:dyDescent="0.3">
      <c r="A851">
        <v>3811</v>
      </c>
      <c r="B851" s="1" t="s">
        <v>517</v>
      </c>
      <c r="F851" s="36">
        <v>1000</v>
      </c>
      <c r="G851" s="36"/>
      <c r="H851" s="36">
        <v>1000</v>
      </c>
      <c r="I851" s="10"/>
      <c r="J851" s="10"/>
    </row>
    <row r="852" spans="1:12" x14ac:dyDescent="0.3">
      <c r="A852" s="1">
        <v>3811</v>
      </c>
      <c r="B852" s="1" t="s">
        <v>518</v>
      </c>
      <c r="C852" s="1"/>
      <c r="D852" s="1"/>
      <c r="E852" s="1"/>
      <c r="F852" s="36">
        <v>1500</v>
      </c>
      <c r="G852" s="36">
        <v>1500</v>
      </c>
      <c r="H852" s="36">
        <v>1500</v>
      </c>
      <c r="I852" s="10"/>
      <c r="J852" s="10"/>
    </row>
    <row r="853" spans="1:12" x14ac:dyDescent="0.3">
      <c r="A853" s="1"/>
      <c r="B853" s="1"/>
      <c r="C853" s="1"/>
      <c r="D853" s="1"/>
      <c r="E853" s="1"/>
      <c r="F853" s="5"/>
      <c r="G853" s="5"/>
      <c r="H853" s="5"/>
      <c r="I853" s="10"/>
      <c r="J853" s="10"/>
    </row>
    <row r="854" spans="1:12" s="3" customFormat="1" ht="13.8" x14ac:dyDescent="0.25">
      <c r="A854" s="63" t="s">
        <v>519</v>
      </c>
      <c r="B854" s="63"/>
      <c r="C854" s="63"/>
      <c r="D854" s="63"/>
      <c r="E854" s="63"/>
      <c r="F854" s="96"/>
      <c r="G854" s="96"/>
      <c r="H854" s="96"/>
      <c r="I854" s="83"/>
      <c r="J854" s="96"/>
      <c r="K854" s="2"/>
      <c r="L854" s="2"/>
    </row>
    <row r="855" spans="1:12" s="3" customFormat="1" ht="13.8" x14ac:dyDescent="0.25">
      <c r="A855" s="90" t="s">
        <v>520</v>
      </c>
      <c r="B855" s="90"/>
      <c r="C855" s="90"/>
      <c r="D855" s="90"/>
      <c r="E855" s="90"/>
      <c r="F855" s="77">
        <f t="shared" ref="F855:J855" si="169">F858</f>
        <v>30000</v>
      </c>
      <c r="G855" s="77">
        <f t="shared" si="169"/>
        <v>0</v>
      </c>
      <c r="H855" s="77">
        <f t="shared" si="169"/>
        <v>75000</v>
      </c>
      <c r="I855" s="77">
        <f t="shared" si="169"/>
        <v>75000</v>
      </c>
      <c r="J855" s="77">
        <f t="shared" si="169"/>
        <v>75000</v>
      </c>
      <c r="K855" s="2"/>
      <c r="L855" s="2"/>
    </row>
    <row r="856" spans="1:12" x14ac:dyDescent="0.3">
      <c r="A856" s="142" t="s">
        <v>132</v>
      </c>
      <c r="B856" s="142"/>
      <c r="C856" s="142"/>
      <c r="D856" s="142"/>
      <c r="E856" s="142"/>
      <c r="F856" s="67"/>
      <c r="G856" s="85"/>
      <c r="H856" s="85"/>
      <c r="I856" s="80"/>
      <c r="J856" s="84"/>
      <c r="K856" s="2"/>
      <c r="L856" s="2"/>
    </row>
    <row r="857" spans="1:12" x14ac:dyDescent="0.3">
      <c r="B857" s="1"/>
      <c r="F857" s="5"/>
      <c r="G857" s="5"/>
      <c r="H857" s="5"/>
      <c r="I857" s="10"/>
      <c r="J857" s="35"/>
      <c r="K857" s="2"/>
      <c r="L857" s="2"/>
    </row>
    <row r="858" spans="1:12" x14ac:dyDescent="0.3">
      <c r="A858" s="3">
        <v>38</v>
      </c>
      <c r="B858" s="3" t="s">
        <v>445</v>
      </c>
      <c r="C858" s="3"/>
      <c r="D858" s="3"/>
      <c r="E858" s="3"/>
      <c r="F858" s="5">
        <f t="shared" ref="F858:J858" si="170">F859</f>
        <v>30000</v>
      </c>
      <c r="G858" s="5">
        <f t="shared" si="170"/>
        <v>0</v>
      </c>
      <c r="H858" s="5">
        <f t="shared" si="170"/>
        <v>75000</v>
      </c>
      <c r="I858" s="5">
        <f t="shared" si="170"/>
        <v>75000</v>
      </c>
      <c r="J858" s="5">
        <f t="shared" si="170"/>
        <v>75000</v>
      </c>
      <c r="K858" s="3"/>
      <c r="L858" s="3"/>
    </row>
    <row r="859" spans="1:12" s="2" customFormat="1" ht="13.8" x14ac:dyDescent="0.25">
      <c r="A859" s="3">
        <v>381</v>
      </c>
      <c r="B859" s="3" t="s">
        <v>159</v>
      </c>
      <c r="C859" s="3"/>
      <c r="D859" s="3"/>
      <c r="E859" s="3"/>
      <c r="F859" s="5">
        <f>F860</f>
        <v>30000</v>
      </c>
      <c r="G859" s="5">
        <f>G860</f>
        <v>0</v>
      </c>
      <c r="H859" s="5">
        <f>H860</f>
        <v>75000</v>
      </c>
      <c r="I859" s="5">
        <v>75000</v>
      </c>
      <c r="J859" s="5">
        <v>75000</v>
      </c>
      <c r="K859" s="3"/>
      <c r="L859" s="3" t="s">
        <v>521</v>
      </c>
    </row>
    <row r="860" spans="1:12" s="2" customFormat="1" ht="13.8" x14ac:dyDescent="0.25">
      <c r="A860" s="1">
        <v>3811</v>
      </c>
      <c r="B860" s="1" t="s">
        <v>522</v>
      </c>
      <c r="C860" s="1"/>
      <c r="D860" s="1"/>
      <c r="E860" s="1"/>
      <c r="F860" s="36">
        <v>30000</v>
      </c>
      <c r="G860" s="36"/>
      <c r="H860" s="36">
        <v>75000</v>
      </c>
      <c r="I860" s="35"/>
      <c r="J860" s="36"/>
      <c r="K860" s="1"/>
      <c r="L860" s="1"/>
    </row>
    <row r="861" spans="1:12" s="2" customFormat="1" ht="13.8" x14ac:dyDescent="0.25">
      <c r="A861" s="1"/>
      <c r="B861" s="1"/>
      <c r="C861" s="1"/>
      <c r="D861" s="1"/>
      <c r="E861" s="1"/>
      <c r="F861" s="35"/>
      <c r="G861" s="35"/>
      <c r="H861" s="35"/>
      <c r="I861" s="35"/>
      <c r="J861" s="36"/>
      <c r="K861" s="1"/>
      <c r="L861" s="1"/>
    </row>
    <row r="862" spans="1:12" s="3" customFormat="1" ht="13.8" x14ac:dyDescent="0.25">
      <c r="A862" s="59" t="s">
        <v>523</v>
      </c>
      <c r="B862" s="59"/>
      <c r="C862" s="59"/>
      <c r="D862" s="59"/>
      <c r="E862" s="59"/>
      <c r="F862" s="60">
        <f t="shared" ref="F862:J862" si="171">F868</f>
        <v>10000</v>
      </c>
      <c r="G862" s="60">
        <f t="shared" si="171"/>
        <v>6000</v>
      </c>
      <c r="H862" s="60">
        <f t="shared" si="171"/>
        <v>10000</v>
      </c>
      <c r="I862" s="60">
        <f t="shared" si="171"/>
        <v>10000</v>
      </c>
      <c r="J862" s="60">
        <f t="shared" si="171"/>
        <v>10000</v>
      </c>
      <c r="K862" s="1"/>
      <c r="L862" s="1"/>
    </row>
    <row r="863" spans="1:12" s="3" customFormat="1" x14ac:dyDescent="0.3">
      <c r="A863" s="61" t="s">
        <v>524</v>
      </c>
      <c r="B863" s="61"/>
      <c r="C863" s="61"/>
      <c r="D863" s="61"/>
      <c r="E863" s="61"/>
      <c r="F863" s="91">
        <f t="shared" ref="F863:G863" si="172">F865</f>
        <v>10000</v>
      </c>
      <c r="G863" s="91">
        <f t="shared" si="172"/>
        <v>6000</v>
      </c>
      <c r="H863" s="91">
        <f>H865</f>
        <v>10000</v>
      </c>
      <c r="I863" s="62"/>
      <c r="J863" s="112"/>
      <c r="K863" s="1"/>
      <c r="L863" s="1"/>
    </row>
    <row r="864" spans="1:12" s="1" customFormat="1" ht="13.8" x14ac:dyDescent="0.25">
      <c r="A864" s="63" t="s">
        <v>459</v>
      </c>
      <c r="B864" s="63"/>
      <c r="C864" s="63"/>
      <c r="D864" s="63"/>
      <c r="E864" s="63"/>
      <c r="F864" s="83"/>
      <c r="G864" s="83"/>
      <c r="H864" s="83"/>
      <c r="I864" s="110"/>
      <c r="J864" s="110"/>
    </row>
    <row r="865" spans="1:12" s="1" customFormat="1" x14ac:dyDescent="0.3">
      <c r="A865" s="68" t="s">
        <v>525</v>
      </c>
      <c r="B865" s="69"/>
      <c r="C865" s="69"/>
      <c r="D865" s="69"/>
      <c r="E865" s="69"/>
      <c r="F865" s="70">
        <f t="shared" ref="F865:J865" si="173">F868</f>
        <v>10000</v>
      </c>
      <c r="G865" s="70">
        <f t="shared" si="173"/>
        <v>6000</v>
      </c>
      <c r="H865" s="70">
        <f t="shared" si="173"/>
        <v>10000</v>
      </c>
      <c r="I865" s="70">
        <f t="shared" si="173"/>
        <v>10000</v>
      </c>
      <c r="J865" s="70">
        <f t="shared" si="173"/>
        <v>10000</v>
      </c>
      <c r="K865" s="36"/>
    </row>
    <row r="866" spans="1:12" s="1" customFormat="1" ht="13.8" x14ac:dyDescent="0.25">
      <c r="A866" s="142" t="s">
        <v>132</v>
      </c>
      <c r="B866" s="142"/>
      <c r="C866" s="142"/>
      <c r="D866" s="142"/>
      <c r="E866" s="142"/>
      <c r="F866" s="67"/>
      <c r="G866" s="67"/>
      <c r="H866" s="67"/>
      <c r="I866" s="67"/>
      <c r="J866" s="67"/>
    </row>
    <row r="867" spans="1:12" s="1" customFormat="1" x14ac:dyDescent="0.3">
      <c r="A867"/>
      <c r="B867"/>
      <c r="C867"/>
      <c r="D867"/>
      <c r="E867"/>
      <c r="F867" s="5"/>
      <c r="G867" s="5"/>
      <c r="H867" s="5"/>
      <c r="I867" s="36"/>
      <c r="J867" s="36"/>
    </row>
    <row r="868" spans="1:12" s="1" customFormat="1" x14ac:dyDescent="0.3">
      <c r="A868" s="3">
        <v>38</v>
      </c>
      <c r="B868" s="3" t="s">
        <v>445</v>
      </c>
      <c r="C868" s="3"/>
      <c r="D868" s="3"/>
      <c r="E868" s="3"/>
      <c r="F868" s="5">
        <f t="shared" ref="F868:H869" si="174">F869</f>
        <v>10000</v>
      </c>
      <c r="G868" s="5">
        <f t="shared" si="174"/>
        <v>6000</v>
      </c>
      <c r="H868" s="5">
        <f t="shared" si="174"/>
        <v>10000</v>
      </c>
      <c r="I868" s="5">
        <v>10000</v>
      </c>
      <c r="J868" s="5">
        <v>10000</v>
      </c>
      <c r="K868"/>
      <c r="L868"/>
    </row>
    <row r="869" spans="1:12" s="1" customFormat="1" x14ac:dyDescent="0.3">
      <c r="A869" s="3">
        <v>381</v>
      </c>
      <c r="B869" s="3" t="s">
        <v>159</v>
      </c>
      <c r="C869" s="3"/>
      <c r="D869" s="3"/>
      <c r="E869" s="3"/>
      <c r="F869" s="5">
        <f t="shared" si="174"/>
        <v>10000</v>
      </c>
      <c r="G869" s="5">
        <f t="shared" si="174"/>
        <v>6000</v>
      </c>
      <c r="H869" s="5">
        <f t="shared" si="174"/>
        <v>10000</v>
      </c>
      <c r="I869" s="5"/>
      <c r="J869" s="5"/>
      <c r="K869"/>
      <c r="L869"/>
    </row>
    <row r="870" spans="1:12" s="1" customFormat="1" x14ac:dyDescent="0.3">
      <c r="A870" s="1">
        <v>3811</v>
      </c>
      <c r="B870" s="1" t="s">
        <v>514</v>
      </c>
      <c r="F870" s="36">
        <v>10000</v>
      </c>
      <c r="G870" s="36">
        <v>6000</v>
      </c>
      <c r="H870" s="36">
        <v>10000</v>
      </c>
      <c r="I870" s="36"/>
      <c r="J870" s="10"/>
      <c r="K870"/>
      <c r="L870"/>
    </row>
    <row r="871" spans="1:12" s="1" customFormat="1" x14ac:dyDescent="0.3">
      <c r="F871" s="36"/>
      <c r="G871" s="36"/>
      <c r="H871" s="36"/>
      <c r="J871"/>
      <c r="K871"/>
      <c r="L871"/>
    </row>
    <row r="872" spans="1:12" s="1" customFormat="1" x14ac:dyDescent="0.3">
      <c r="A872" s="2"/>
      <c r="B872" s="2"/>
      <c r="C872" s="2"/>
      <c r="D872" s="2"/>
      <c r="E872" s="2" t="s">
        <v>544</v>
      </c>
      <c r="F872" s="36"/>
      <c r="G872" s="36"/>
      <c r="H872" s="36"/>
      <c r="J872"/>
      <c r="K872"/>
      <c r="L872"/>
    </row>
    <row r="873" spans="1:12" hidden="1" x14ac:dyDescent="0.3">
      <c r="J873" s="2"/>
      <c r="K873" s="2"/>
      <c r="L873" s="2"/>
    </row>
    <row r="874" spans="1:12" hidden="1" x14ac:dyDescent="0.3">
      <c r="J874" s="2"/>
      <c r="K874" s="2"/>
      <c r="L874" s="2"/>
    </row>
    <row r="875" spans="1:12" x14ac:dyDescent="0.3">
      <c r="J875" s="2"/>
      <c r="K875" s="2"/>
      <c r="L875" s="2"/>
    </row>
    <row r="876" spans="1:12" s="138" customFormat="1" x14ac:dyDescent="0.3">
      <c r="A876" s="137" t="s">
        <v>537</v>
      </c>
      <c r="B876" s="137"/>
      <c r="C876" s="137"/>
      <c r="D876" s="137"/>
      <c r="F876" s="139"/>
      <c r="G876" s="139"/>
      <c r="H876" s="139"/>
    </row>
    <row r="877" spans="1:12" s="136" customFormat="1" x14ac:dyDescent="0.3">
      <c r="A877" s="137" t="s">
        <v>545</v>
      </c>
      <c r="B877" s="137"/>
      <c r="C877" s="137"/>
      <c r="D877" s="137"/>
      <c r="E877" s="138"/>
      <c r="F877" s="135"/>
      <c r="G877" s="135"/>
      <c r="H877" s="135"/>
      <c r="J877" s="138"/>
      <c r="K877" s="138"/>
      <c r="L877" s="138"/>
    </row>
    <row r="878" spans="1:12" s="25" customFormat="1" ht="13.8" x14ac:dyDescent="0.25">
      <c r="A878" s="28" t="s">
        <v>546</v>
      </c>
      <c r="B878" s="28"/>
      <c r="C878" s="28"/>
      <c r="D878" s="28"/>
      <c r="E878" s="28"/>
      <c r="F878" s="113"/>
      <c r="G878" s="113"/>
      <c r="H878" s="113"/>
      <c r="J878" s="28"/>
      <c r="K878" s="28"/>
      <c r="L878" s="28"/>
    </row>
    <row r="879" spans="1:12" s="2" customFormat="1" x14ac:dyDescent="0.3">
      <c r="A879"/>
      <c r="B879"/>
      <c r="C879"/>
      <c r="D879"/>
      <c r="E879"/>
      <c r="F879" s="35"/>
      <c r="G879" s="35"/>
      <c r="H879" s="73" t="s">
        <v>547</v>
      </c>
      <c r="J879"/>
      <c r="K879"/>
      <c r="L879"/>
    </row>
    <row r="880" spans="1:12" s="2" customFormat="1" x14ac:dyDescent="0.3">
      <c r="A880"/>
      <c r="B880"/>
      <c r="C880"/>
      <c r="D880"/>
      <c r="E880"/>
      <c r="F880" s="35"/>
      <c r="G880" s="35"/>
      <c r="H880" s="35"/>
      <c r="J880"/>
      <c r="K880"/>
      <c r="L880"/>
    </row>
    <row r="881" spans="8:8" x14ac:dyDescent="0.3">
      <c r="H881" s="36" t="s">
        <v>548</v>
      </c>
    </row>
    <row r="928" spans="2:5" x14ac:dyDescent="0.3">
      <c r="B928" s="1"/>
      <c r="C928" s="1"/>
      <c r="D928" s="1"/>
      <c r="E928" s="1"/>
    </row>
    <row r="929" spans="1:12" x14ac:dyDescent="0.3">
      <c r="A929" s="1"/>
    </row>
    <row r="943" spans="1:12" x14ac:dyDescent="0.3">
      <c r="J943" s="1"/>
      <c r="K943" s="1"/>
      <c r="L943" s="1"/>
    </row>
    <row r="948" spans="1:12" s="1" customFormat="1" x14ac:dyDescent="0.3">
      <c r="A948"/>
      <c r="B948"/>
      <c r="C948"/>
      <c r="D948"/>
      <c r="E948"/>
      <c r="F948" s="36"/>
      <c r="G948" s="36"/>
      <c r="H948" s="36"/>
      <c r="J948"/>
      <c r="K948"/>
      <c r="L948"/>
    </row>
    <row r="1007" spans="1:5" x14ac:dyDescent="0.3">
      <c r="B1007" s="1"/>
      <c r="C1007" s="1"/>
      <c r="D1007" s="1"/>
      <c r="E1007" s="1"/>
    </row>
    <row r="1008" spans="1:5" x14ac:dyDescent="0.3">
      <c r="A1008" s="1"/>
    </row>
    <row r="1022" spans="10:12" x14ac:dyDescent="0.3">
      <c r="J1022" s="1"/>
      <c r="K1022" s="1"/>
      <c r="L1022" s="1"/>
    </row>
    <row r="1027" spans="1:12" s="1" customFormat="1" x14ac:dyDescent="0.3">
      <c r="A1027"/>
      <c r="B1027"/>
      <c r="C1027"/>
      <c r="D1027"/>
      <c r="E1027"/>
      <c r="F1027" s="36"/>
      <c r="G1027" s="36"/>
      <c r="H1027" s="36"/>
      <c r="J1027"/>
      <c r="K1027"/>
      <c r="L1027"/>
    </row>
    <row r="1097" hidden="1" x14ac:dyDescent="0.3"/>
    <row r="1098" hidden="1" x14ac:dyDescent="0.3"/>
    <row r="1099" hidden="1" x14ac:dyDescent="0.3"/>
    <row r="1111" hidden="1" x14ac:dyDescent="0.3"/>
    <row r="1112" hidden="1" x14ac:dyDescent="0.3"/>
    <row r="1119" hidden="1" x14ac:dyDescent="0.3"/>
    <row r="1127" hidden="1" x14ac:dyDescent="0.3"/>
    <row r="1128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53" spans="1:12" x14ac:dyDescent="0.3">
      <c r="J1153" s="1"/>
      <c r="K1153" s="1"/>
      <c r="L1153" s="1"/>
    </row>
    <row r="1158" spans="1:12" s="1" customFormat="1" x14ac:dyDescent="0.3">
      <c r="A1158"/>
      <c r="B1158"/>
      <c r="C1158"/>
      <c r="D1158"/>
      <c r="E1158"/>
      <c r="F1158" s="36"/>
      <c r="G1158" s="36"/>
      <c r="H1158" s="36"/>
      <c r="J1158"/>
      <c r="K1158"/>
      <c r="L1158"/>
    </row>
    <row r="1208" ht="13.5" customHeight="1" x14ac:dyDescent="0.3"/>
    <row r="1209" hidden="1" x14ac:dyDescent="0.3"/>
    <row r="1210" hidden="1" x14ac:dyDescent="0.3"/>
    <row r="1211" hidden="1" x14ac:dyDescent="0.3"/>
    <row r="1218" hidden="1" x14ac:dyDescent="0.3"/>
    <row r="1243" hidden="1" x14ac:dyDescent="0.3"/>
    <row r="1244" hidden="1" x14ac:dyDescent="0.3"/>
    <row r="1256" spans="1:12" x14ac:dyDescent="0.3">
      <c r="J1256" s="1"/>
      <c r="K1256" s="1"/>
      <c r="L1256" s="1"/>
    </row>
    <row r="1257" spans="1:12" x14ac:dyDescent="0.3">
      <c r="J1257" s="1"/>
      <c r="K1257" s="1"/>
      <c r="L1257" s="1"/>
    </row>
    <row r="1261" spans="1:12" s="1" customFormat="1" x14ac:dyDescent="0.3">
      <c r="A1261"/>
      <c r="B1261"/>
      <c r="C1261"/>
      <c r="D1261"/>
      <c r="E1261"/>
      <c r="F1261" s="36"/>
      <c r="G1261" s="36"/>
      <c r="H1261" s="36"/>
      <c r="J1261" s="42"/>
      <c r="K1261" s="42"/>
      <c r="L1261" s="42"/>
    </row>
    <row r="1262" spans="1:12" s="1" customFormat="1" x14ac:dyDescent="0.3">
      <c r="A1262"/>
      <c r="B1262"/>
      <c r="C1262"/>
      <c r="D1262"/>
      <c r="E1262"/>
      <c r="F1262" s="36"/>
      <c r="G1262" s="36"/>
      <c r="H1262" s="36"/>
      <c r="J1262" s="42"/>
      <c r="K1262" s="42"/>
      <c r="L1262" s="42"/>
    </row>
    <row r="1263" spans="1:12" x14ac:dyDescent="0.3">
      <c r="J1263" s="42"/>
      <c r="K1263" s="42"/>
      <c r="L1263" s="42"/>
    </row>
    <row r="1264" spans="1:12" x14ac:dyDescent="0.3">
      <c r="J1264" s="42"/>
      <c r="K1264" s="42"/>
      <c r="L1264" s="42"/>
    </row>
    <row r="1265" spans="1:12" x14ac:dyDescent="0.3">
      <c r="J1265" s="42"/>
      <c r="K1265" s="42"/>
      <c r="L1265" s="42"/>
    </row>
    <row r="1266" spans="1:12" s="42" customFormat="1" x14ac:dyDescent="0.3">
      <c r="A1266"/>
      <c r="B1266"/>
      <c r="C1266"/>
      <c r="D1266"/>
      <c r="E1266"/>
      <c r="F1266" s="122"/>
      <c r="G1266" s="122"/>
      <c r="H1266" s="122"/>
    </row>
    <row r="1267" spans="1:12" s="42" customFormat="1" x14ac:dyDescent="0.3">
      <c r="A1267"/>
      <c r="B1267"/>
      <c r="C1267"/>
      <c r="D1267"/>
      <c r="E1267"/>
      <c r="F1267" s="122"/>
      <c r="G1267" s="122"/>
      <c r="H1267" s="122"/>
    </row>
    <row r="1268" spans="1:12" s="42" customFormat="1" x14ac:dyDescent="0.3">
      <c r="A1268"/>
      <c r="B1268"/>
      <c r="C1268"/>
      <c r="D1268"/>
      <c r="E1268"/>
      <c r="F1268" s="122"/>
      <c r="G1268" s="122"/>
      <c r="H1268" s="122"/>
    </row>
    <row r="1269" spans="1:12" s="42" customFormat="1" x14ac:dyDescent="0.3">
      <c r="A1269"/>
      <c r="B1269"/>
      <c r="C1269"/>
      <c r="D1269"/>
      <c r="E1269"/>
      <c r="F1269" s="122"/>
      <c r="G1269" s="122"/>
      <c r="H1269" s="122"/>
      <c r="J1269"/>
      <c r="K1269"/>
      <c r="L1269"/>
    </row>
    <row r="1270" spans="1:12" s="42" customFormat="1" x14ac:dyDescent="0.3">
      <c r="A1270"/>
      <c r="B1270"/>
      <c r="C1270"/>
      <c r="D1270"/>
      <c r="E1270"/>
      <c r="F1270" s="122"/>
      <c r="G1270" s="122"/>
      <c r="H1270" s="122"/>
      <c r="J1270"/>
      <c r="K1270"/>
      <c r="L1270"/>
    </row>
    <row r="1271" spans="1:12" s="42" customFormat="1" x14ac:dyDescent="0.3">
      <c r="A1271"/>
      <c r="B1271"/>
      <c r="C1271"/>
      <c r="D1271"/>
      <c r="E1271"/>
      <c r="F1271" s="122"/>
      <c r="G1271" s="122"/>
      <c r="H1271" s="122"/>
      <c r="J1271"/>
      <c r="K1271"/>
      <c r="L1271"/>
    </row>
    <row r="1272" spans="1:12" s="42" customFormat="1" x14ac:dyDescent="0.3">
      <c r="A1272"/>
      <c r="B1272"/>
      <c r="C1272"/>
      <c r="D1272"/>
      <c r="E1272"/>
      <c r="F1272" s="122"/>
      <c r="G1272" s="122"/>
      <c r="H1272" s="122"/>
      <c r="J1272"/>
      <c r="K1272"/>
      <c r="L1272"/>
    </row>
    <row r="1273" spans="1:12" s="42" customFormat="1" x14ac:dyDescent="0.3">
      <c r="A1273"/>
      <c r="B1273"/>
      <c r="C1273"/>
      <c r="D1273"/>
      <c r="E1273"/>
      <c r="F1273" s="122"/>
      <c r="G1273" s="122"/>
      <c r="H1273" s="122"/>
      <c r="J1273"/>
      <c r="K1273"/>
      <c r="L1273"/>
    </row>
  </sheetData>
  <mergeCells count="184">
    <mergeCell ref="A3:O3"/>
    <mergeCell ref="B62:E62"/>
    <mergeCell ref="B64:E64"/>
    <mergeCell ref="B72:E72"/>
    <mergeCell ref="B74:E74"/>
    <mergeCell ref="B75:E75"/>
    <mergeCell ref="A7:J9"/>
    <mergeCell ref="A58:J58"/>
    <mergeCell ref="B76:E76"/>
    <mergeCell ref="B78:E78"/>
    <mergeCell ref="B79:E79"/>
    <mergeCell ref="B65:E65"/>
    <mergeCell ref="B66:E66"/>
    <mergeCell ref="B67:E67"/>
    <mergeCell ref="B68:E68"/>
    <mergeCell ref="B69:E69"/>
    <mergeCell ref="B70:E70"/>
    <mergeCell ref="B109:E109"/>
    <mergeCell ref="B110:E110"/>
    <mergeCell ref="B111:E111"/>
    <mergeCell ref="B114:E114"/>
    <mergeCell ref="B124:E124"/>
    <mergeCell ref="B125:E125"/>
    <mergeCell ref="B85:E85"/>
    <mergeCell ref="A86:E86"/>
    <mergeCell ref="B89:E89"/>
    <mergeCell ref="B93:E93"/>
    <mergeCell ref="B103:E103"/>
    <mergeCell ref="B108:E108"/>
    <mergeCell ref="A173:H173"/>
    <mergeCell ref="B207:E207"/>
    <mergeCell ref="A210:E210"/>
    <mergeCell ref="A211:E211"/>
    <mergeCell ref="A225:E225"/>
    <mergeCell ref="A226:E226"/>
    <mergeCell ref="B128:E128"/>
    <mergeCell ref="B129:E129"/>
    <mergeCell ref="B131:E131"/>
    <mergeCell ref="B145:E145"/>
    <mergeCell ref="B160:E160"/>
    <mergeCell ref="A170:E170"/>
    <mergeCell ref="B296:E296"/>
    <mergeCell ref="B305:E305"/>
    <mergeCell ref="B308:E308"/>
    <mergeCell ref="B309:E309"/>
    <mergeCell ref="B315:E315"/>
    <mergeCell ref="A319:E319"/>
    <mergeCell ref="A235:E235"/>
    <mergeCell ref="A251:E251"/>
    <mergeCell ref="A252:E252"/>
    <mergeCell ref="B260:E260"/>
    <mergeCell ref="B261:E261"/>
    <mergeCell ref="B293:E293"/>
    <mergeCell ref="B336:E336"/>
    <mergeCell ref="B337:E337"/>
    <mergeCell ref="A339:E339"/>
    <mergeCell ref="B341:E341"/>
    <mergeCell ref="B342:E342"/>
    <mergeCell ref="A345:E345"/>
    <mergeCell ref="B328:E328"/>
    <mergeCell ref="B330:E330"/>
    <mergeCell ref="B331:E331"/>
    <mergeCell ref="B332:E332"/>
    <mergeCell ref="A334:E334"/>
    <mergeCell ref="A335:E335"/>
    <mergeCell ref="A409:E409"/>
    <mergeCell ref="B419:E419"/>
    <mergeCell ref="A423:E423"/>
    <mergeCell ref="B425:E425"/>
    <mergeCell ref="B426:E426"/>
    <mergeCell ref="B427:E427"/>
    <mergeCell ref="A346:E346"/>
    <mergeCell ref="A354:E354"/>
    <mergeCell ref="A368:E368"/>
    <mergeCell ref="A382:E382"/>
    <mergeCell ref="A395:E395"/>
    <mergeCell ref="A408:E408"/>
    <mergeCell ref="A435:E435"/>
    <mergeCell ref="A436:E436"/>
    <mergeCell ref="A437:E437"/>
    <mergeCell ref="A449:E449"/>
    <mergeCell ref="A450:E450"/>
    <mergeCell ref="A451:E451"/>
    <mergeCell ref="A428:E428"/>
    <mergeCell ref="A429:E429"/>
    <mergeCell ref="A430:E430"/>
    <mergeCell ref="A431:E431"/>
    <mergeCell ref="B432:E432"/>
    <mergeCell ref="B433:E433"/>
    <mergeCell ref="A470:E470"/>
    <mergeCell ref="B472:E472"/>
    <mergeCell ref="B474:E474"/>
    <mergeCell ref="A476:E476"/>
    <mergeCell ref="B478:E478"/>
    <mergeCell ref="B480:E480"/>
    <mergeCell ref="A458:E458"/>
    <mergeCell ref="B460:E460"/>
    <mergeCell ref="B462:E462"/>
    <mergeCell ref="A464:E464"/>
    <mergeCell ref="B466:E466"/>
    <mergeCell ref="B468:E468"/>
    <mergeCell ref="A501:E501"/>
    <mergeCell ref="A502:E502"/>
    <mergeCell ref="B506:E506"/>
    <mergeCell ref="A512:E512"/>
    <mergeCell ref="A522:E522"/>
    <mergeCell ref="A534:E534"/>
    <mergeCell ref="A482:E482"/>
    <mergeCell ref="B484:E484"/>
    <mergeCell ref="B486:E486"/>
    <mergeCell ref="A490:E490"/>
    <mergeCell ref="A491:E491"/>
    <mergeCell ref="B496:E496"/>
    <mergeCell ref="A564:E564"/>
    <mergeCell ref="B571:E571"/>
    <mergeCell ref="A578:E578"/>
    <mergeCell ref="A579:E579"/>
    <mergeCell ref="A585:E585"/>
    <mergeCell ref="A586:E586"/>
    <mergeCell ref="A535:E535"/>
    <mergeCell ref="B541:E541"/>
    <mergeCell ref="A548:E548"/>
    <mergeCell ref="A549:E549"/>
    <mergeCell ref="B551:E551"/>
    <mergeCell ref="B552:E552"/>
    <mergeCell ref="A604:E604"/>
    <mergeCell ref="A609:E609"/>
    <mergeCell ref="B610:E610"/>
    <mergeCell ref="B614:E614"/>
    <mergeCell ref="B615:E615"/>
    <mergeCell ref="B616:E616"/>
    <mergeCell ref="A587:E587"/>
    <mergeCell ref="A588:E588"/>
    <mergeCell ref="A589:E589"/>
    <mergeCell ref="A594:E594"/>
    <mergeCell ref="A595:E595"/>
    <mergeCell ref="A603:E603"/>
    <mergeCell ref="B647:E647"/>
    <mergeCell ref="B651:E651"/>
    <mergeCell ref="B652:E652"/>
    <mergeCell ref="B654:E654"/>
    <mergeCell ref="B656:E656"/>
    <mergeCell ref="B657:E657"/>
    <mergeCell ref="B617:E617"/>
    <mergeCell ref="A624:E624"/>
    <mergeCell ref="A625:E625"/>
    <mergeCell ref="B643:E643"/>
    <mergeCell ref="B644:E644"/>
    <mergeCell ref="B646:D646"/>
    <mergeCell ref="A682:E682"/>
    <mergeCell ref="A683:E683"/>
    <mergeCell ref="A692:E692"/>
    <mergeCell ref="A693:E693"/>
    <mergeCell ref="A702:E702"/>
    <mergeCell ref="A711:E711"/>
    <mergeCell ref="B659:E659"/>
    <mergeCell ref="B660:E660"/>
    <mergeCell ref="B662:E662"/>
    <mergeCell ref="B666:E666"/>
    <mergeCell ref="B667:E667"/>
    <mergeCell ref="B678:E678"/>
    <mergeCell ref="A781:E781"/>
    <mergeCell ref="A782:E782"/>
    <mergeCell ref="B789:E789"/>
    <mergeCell ref="B798:E798"/>
    <mergeCell ref="A805:E805"/>
    <mergeCell ref="A814:E814"/>
    <mergeCell ref="A712:E712"/>
    <mergeCell ref="A739:E739"/>
    <mergeCell ref="A740:E740"/>
    <mergeCell ref="A751:E751"/>
    <mergeCell ref="A762:E762"/>
    <mergeCell ref="A771:E771"/>
    <mergeCell ref="B839:E839"/>
    <mergeCell ref="B840:E840"/>
    <mergeCell ref="A845:E845"/>
    <mergeCell ref="A856:E856"/>
    <mergeCell ref="A866:E866"/>
    <mergeCell ref="A832:E832"/>
    <mergeCell ref="A833:E833"/>
    <mergeCell ref="B835:E835"/>
    <mergeCell ref="B836:E836"/>
    <mergeCell ref="B837:E837"/>
    <mergeCell ref="B838:E838"/>
  </mergeCells>
  <pageMargins left="0.15748031496062992" right="0.1574803149606299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prijedlog 15.11.21.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Helena</cp:lastModifiedBy>
  <cp:lastPrinted>2021-11-15T10:50:45Z</cp:lastPrinted>
  <dcterms:created xsi:type="dcterms:W3CDTF">2021-11-15T07:25:50Z</dcterms:created>
  <dcterms:modified xsi:type="dcterms:W3CDTF">2021-11-15T10:51:19Z</dcterms:modified>
</cp:coreProperties>
</file>