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elena\Desktop\ON Ferdinand\prijedlozi proračuna - 2019-2024\2024\"/>
    </mc:Choice>
  </mc:AlternateContent>
  <xr:revisionPtr revIDLastSave="0" documentId="8_{62AA9333-0C33-4C37-A2CB-BA79A4FA0515}" xr6:coauthVersionLast="47" xr6:coauthVersionMax="47" xr10:uidLastSave="{00000000-0000-0000-0000-000000000000}"/>
  <bookViews>
    <workbookView xWindow="-120" yWindow="-120" windowWidth="29040" windowHeight="15720" firstSheet="3" activeTab="7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Račun financiranja po izvorima" sheetId="12" r:id="rId6"/>
    <sheet name="Prenesena sredstva" sheetId="15" r:id="rId7"/>
    <sheet name="POSEBNI DIO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1" l="1"/>
  <c r="H64" i="11"/>
  <c r="H61" i="11"/>
  <c r="H54" i="11"/>
  <c r="H51" i="11"/>
  <c r="I47" i="11"/>
  <c r="I48" i="11"/>
  <c r="I43" i="11"/>
  <c r="I74" i="11"/>
  <c r="I79" i="11"/>
  <c r="H48" i="11"/>
  <c r="H43" i="11"/>
  <c r="H42" i="11" s="1"/>
  <c r="H74" i="11"/>
  <c r="H79" i="11"/>
  <c r="H47" i="11"/>
  <c r="H46" i="11" s="1"/>
  <c r="G184" i="7"/>
  <c r="F184" i="7"/>
  <c r="G21" i="11"/>
  <c r="G64" i="11"/>
  <c r="G61" i="11"/>
  <c r="G54" i="11"/>
  <c r="G51" i="11"/>
  <c r="G48" i="11"/>
  <c r="G43" i="11"/>
  <c r="G42" i="11" s="1"/>
  <c r="G58" i="11"/>
  <c r="G57" i="11" s="1"/>
  <c r="G74" i="11"/>
  <c r="G79" i="11"/>
  <c r="G77" i="11" s="1"/>
  <c r="G73" i="11"/>
  <c r="G47" i="11"/>
  <c r="E270" i="7"/>
  <c r="E101" i="7"/>
  <c r="E102" i="7"/>
  <c r="E106" i="7"/>
  <c r="E176" i="7"/>
  <c r="I60" i="3"/>
  <c r="H60" i="3"/>
  <c r="I62" i="3"/>
  <c r="H62" i="3"/>
  <c r="I45" i="3"/>
  <c r="H45" i="3"/>
  <c r="I55" i="3"/>
  <c r="H55" i="3"/>
  <c r="I53" i="3"/>
  <c r="H53" i="3"/>
  <c r="I51" i="3"/>
  <c r="H51" i="3"/>
  <c r="I49" i="3"/>
  <c r="H49" i="3"/>
  <c r="I47" i="3"/>
  <c r="H47" i="3"/>
  <c r="I43" i="3"/>
  <c r="H43" i="3"/>
  <c r="I71" i="11"/>
  <c r="I76" i="11"/>
  <c r="H76" i="11"/>
  <c r="H71" i="11"/>
  <c r="I25" i="11"/>
  <c r="H25" i="11"/>
  <c r="I21" i="11"/>
  <c r="I20" i="11" s="1"/>
  <c r="H21" i="11"/>
  <c r="H20" i="11" s="1"/>
  <c r="I12" i="11"/>
  <c r="H12" i="11"/>
  <c r="E26" i="5"/>
  <c r="F19" i="5"/>
  <c r="D45" i="5"/>
  <c r="D43" i="5"/>
  <c r="F44" i="5"/>
  <c r="E44" i="5"/>
  <c r="D44" i="5"/>
  <c r="D35" i="5"/>
  <c r="D34" i="5"/>
  <c r="F33" i="5"/>
  <c r="E33" i="5"/>
  <c r="D33" i="5"/>
  <c r="D15" i="5"/>
  <c r="F17" i="5"/>
  <c r="E17" i="5"/>
  <c r="D17" i="5"/>
  <c r="F39" i="5"/>
  <c r="E39" i="5"/>
  <c r="D39" i="5"/>
  <c r="D26" i="5"/>
  <c r="F26" i="5"/>
  <c r="F29" i="5"/>
  <c r="E29" i="5"/>
  <c r="D29" i="5"/>
  <c r="E24" i="5"/>
  <c r="D24" i="5"/>
  <c r="F23" i="5"/>
  <c r="E23" i="5"/>
  <c r="D23" i="5"/>
  <c r="F24" i="5"/>
  <c r="E27" i="5"/>
  <c r="D27" i="5"/>
  <c r="F28" i="5"/>
  <c r="E28" i="5"/>
  <c r="D28" i="5"/>
  <c r="D19" i="5"/>
  <c r="E19" i="5"/>
  <c r="F20" i="5"/>
  <c r="E20" i="5"/>
  <c r="D20" i="5"/>
  <c r="F45" i="5"/>
  <c r="E45" i="5"/>
  <c r="D21" i="5"/>
  <c r="F13" i="5"/>
  <c r="E13" i="5"/>
  <c r="D13" i="5"/>
  <c r="F12" i="5"/>
  <c r="F10" i="5" s="1"/>
  <c r="E12" i="5"/>
  <c r="E10" i="5" s="1"/>
  <c r="D12" i="5"/>
  <c r="D10" i="5" s="1"/>
  <c r="H21" i="3"/>
  <c r="I21" i="3"/>
  <c r="G108" i="7"/>
  <c r="G44" i="7"/>
  <c r="F44" i="7"/>
  <c r="F21" i="7"/>
  <c r="F19" i="7" s="1"/>
  <c r="F118" i="7"/>
  <c r="I46" i="11" l="1"/>
  <c r="I77" i="11"/>
  <c r="G46" i="11"/>
  <c r="G72" i="11"/>
  <c r="G56" i="7"/>
  <c r="F155" i="7"/>
  <c r="F134" i="7" l="1"/>
  <c r="G134" i="7"/>
  <c r="F71" i="7"/>
  <c r="G71" i="7"/>
  <c r="F247" i="7"/>
  <c r="F243" i="7" s="1"/>
  <c r="G247" i="7"/>
  <c r="G243" i="7" s="1"/>
  <c r="G246" i="7" s="1"/>
  <c r="F236" i="7"/>
  <c r="G236" i="7"/>
  <c r="F160" i="7"/>
  <c r="G160" i="7"/>
  <c r="F154" i="7"/>
  <c r="F149" i="7" s="1"/>
  <c r="G154" i="7"/>
  <c r="G149" i="7" s="1"/>
  <c r="G185" i="7"/>
  <c r="G181" i="7" s="1"/>
  <c r="G183" i="7" s="1"/>
  <c r="F185" i="7"/>
  <c r="F181" i="7" s="1"/>
  <c r="F183" i="7" s="1"/>
  <c r="F253" i="7" l="1"/>
  <c r="F249" i="7" s="1"/>
  <c r="F251" i="7" s="1"/>
  <c r="G253" i="7"/>
  <c r="G249" i="7" s="1"/>
  <c r="G251" i="7" s="1"/>
  <c r="F193" i="7"/>
  <c r="G193" i="7"/>
  <c r="F65" i="7"/>
  <c r="F62" i="7" s="1"/>
  <c r="F64" i="7" s="1"/>
  <c r="G65" i="7"/>
  <c r="G62" i="7" s="1"/>
  <c r="G64" i="7" s="1"/>
  <c r="F77" i="7"/>
  <c r="F74" i="7" s="1"/>
  <c r="G77" i="7"/>
  <c r="G74" i="7" s="1"/>
  <c r="F86" i="7"/>
  <c r="G86" i="7"/>
  <c r="G82" i="7" s="1"/>
  <c r="G85" i="7" s="1"/>
  <c r="F93" i="7"/>
  <c r="F90" i="7" s="1"/>
  <c r="G93" i="7"/>
  <c r="G90" i="7" s="1"/>
  <c r="F107" i="7"/>
  <c r="G107" i="7"/>
  <c r="F112" i="7"/>
  <c r="F109" i="7" s="1"/>
  <c r="F111" i="7" s="1"/>
  <c r="G112" i="7"/>
  <c r="G109" i="7" s="1"/>
  <c r="G111" i="7" s="1"/>
  <c r="F117" i="7"/>
  <c r="F114" i="7" s="1"/>
  <c r="F116" i="7" s="1"/>
  <c r="G117" i="7"/>
  <c r="G114" i="7" s="1"/>
  <c r="G116" i="7" s="1"/>
  <c r="F122" i="7"/>
  <c r="F119" i="7" s="1"/>
  <c r="F121" i="7" s="1"/>
  <c r="G122" i="7"/>
  <c r="G119" i="7" s="1"/>
  <c r="G121" i="7" s="1"/>
  <c r="F128" i="7"/>
  <c r="F124" i="7" s="1"/>
  <c r="F126" i="7" s="1"/>
  <c r="G128" i="7"/>
  <c r="G124" i="7" s="1"/>
  <c r="F141" i="7"/>
  <c r="G141" i="7"/>
  <c r="F199" i="7"/>
  <c r="G199" i="7"/>
  <c r="F205" i="7"/>
  <c r="F202" i="7" s="1"/>
  <c r="F204" i="7" s="1"/>
  <c r="G205" i="7"/>
  <c r="G202" i="7" s="1"/>
  <c r="G204" i="7" s="1"/>
  <c r="F213" i="7"/>
  <c r="G213" i="7"/>
  <c r="F219" i="7"/>
  <c r="G219" i="7"/>
  <c r="F234" i="7"/>
  <c r="G234" i="7"/>
  <c r="G241" i="7"/>
  <c r="G238" i="7" s="1"/>
  <c r="G240" i="7" s="1"/>
  <c r="F241" i="7"/>
  <c r="F238" i="7" s="1"/>
  <c r="F240" i="7" s="1"/>
  <c r="F260" i="7"/>
  <c r="G260" i="7"/>
  <c r="G262" i="7"/>
  <c r="F262" i="7"/>
  <c r="F272" i="7"/>
  <c r="G272" i="7"/>
  <c r="F276" i="7"/>
  <c r="G276" i="7"/>
  <c r="F283" i="7"/>
  <c r="G283" i="7"/>
  <c r="F288" i="7"/>
  <c r="F285" i="7" s="1"/>
  <c r="F287" i="7" s="1"/>
  <c r="G288" i="7"/>
  <c r="G285" i="7" s="1"/>
  <c r="G287" i="7" s="1"/>
  <c r="F295" i="7"/>
  <c r="G295" i="7"/>
  <c r="F301" i="7"/>
  <c r="G301" i="7"/>
  <c r="F310" i="7"/>
  <c r="G310" i="7"/>
  <c r="F317" i="7"/>
  <c r="G317" i="7"/>
  <c r="F325" i="7"/>
  <c r="G325" i="7"/>
  <c r="F331" i="7"/>
  <c r="G331" i="7"/>
  <c r="F337" i="7"/>
  <c r="G337" i="7"/>
  <c r="F344" i="7"/>
  <c r="G344" i="7"/>
  <c r="F350" i="7"/>
  <c r="G350" i="7"/>
  <c r="F355" i="7"/>
  <c r="G355" i="7"/>
  <c r="F362" i="7"/>
  <c r="G362" i="7"/>
  <c r="F368" i="7"/>
  <c r="G368" i="7"/>
  <c r="F375" i="7"/>
  <c r="G375" i="7"/>
  <c r="E375" i="7"/>
  <c r="E368" i="7"/>
  <c r="E362" i="7"/>
  <c r="E355" i="7"/>
  <c r="E350" i="7"/>
  <c r="E344" i="7"/>
  <c r="E337" i="7"/>
  <c r="E331" i="7"/>
  <c r="E325" i="7"/>
  <c r="E317" i="7"/>
  <c r="E310" i="7"/>
  <c r="E301" i="7"/>
  <c r="E295" i="7"/>
  <c r="E288" i="7"/>
  <c r="E285" i="7" s="1"/>
  <c r="E287" i="7" s="1"/>
  <c r="E283" i="7"/>
  <c r="E276" i="7"/>
  <c r="E272" i="7"/>
  <c r="E262" i="7"/>
  <c r="E260" i="7"/>
  <c r="E253" i="7"/>
  <c r="E249" i="7" s="1"/>
  <c r="E252" i="7" s="1"/>
  <c r="E247" i="7"/>
  <c r="E243" i="7" s="1"/>
  <c r="E246" i="7" s="1"/>
  <c r="E241" i="7"/>
  <c r="E238" i="7" s="1"/>
  <c r="E240" i="7" s="1"/>
  <c r="E236" i="7"/>
  <c r="E234" i="7"/>
  <c r="E226" i="7"/>
  <c r="E219" i="7"/>
  <c r="E213" i="7"/>
  <c r="E211" i="7"/>
  <c r="E205" i="7"/>
  <c r="E202" i="7" s="1"/>
  <c r="E204" i="7" s="1"/>
  <c r="E199" i="7"/>
  <c r="E193" i="7"/>
  <c r="E179" i="7"/>
  <c r="E172" i="7"/>
  <c r="E169" i="7" s="1"/>
  <c r="E171" i="7" s="1"/>
  <c r="E167" i="7"/>
  <c r="E162" i="7" s="1"/>
  <c r="E166" i="7" s="1"/>
  <c r="E160" i="7"/>
  <c r="E154" i="7"/>
  <c r="E147" i="7"/>
  <c r="E141" i="7"/>
  <c r="E134" i="7"/>
  <c r="E128" i="7"/>
  <c r="E124" i="7" s="1"/>
  <c r="E122" i="7"/>
  <c r="E119" i="7" s="1"/>
  <c r="E121" i="7" s="1"/>
  <c r="E117" i="7"/>
  <c r="E114" i="7" s="1"/>
  <c r="E116" i="7" s="1"/>
  <c r="E112" i="7"/>
  <c r="E109" i="7" s="1"/>
  <c r="E111" i="7" s="1"/>
  <c r="E107" i="7"/>
  <c r="E93" i="7"/>
  <c r="E90" i="7" s="1"/>
  <c r="E92" i="7" s="1"/>
  <c r="F82" i="7"/>
  <c r="F85" i="7" s="1"/>
  <c r="E86" i="7"/>
  <c r="E82" i="7" s="1"/>
  <c r="E85" i="7" s="1"/>
  <c r="E77" i="7"/>
  <c r="E74" i="7" s="1"/>
  <c r="E76" i="7" s="1"/>
  <c r="E71" i="7"/>
  <c r="E65" i="7"/>
  <c r="E62" i="7" s="1"/>
  <c r="E64" i="7" s="1"/>
  <c r="E60" i="7"/>
  <c r="E57" i="7" s="1"/>
  <c r="E59" i="7" s="1"/>
  <c r="G89" i="7" l="1"/>
  <c r="G92" i="7"/>
  <c r="F89" i="7"/>
  <c r="F92" i="7"/>
  <c r="G73" i="7"/>
  <c r="G76" i="7"/>
  <c r="F73" i="7"/>
  <c r="F76" i="7"/>
  <c r="G267" i="7"/>
  <c r="E61" i="11"/>
  <c r="E17" i="11"/>
  <c r="E43" i="11"/>
  <c r="E48" i="11"/>
  <c r="E79" i="11"/>
  <c r="E74" i="11"/>
  <c r="E73" i="11"/>
  <c r="E47" i="11"/>
  <c r="E46" i="11" s="1"/>
  <c r="I11" i="15"/>
  <c r="K11" i="15"/>
  <c r="G11" i="15"/>
  <c r="B37" i="5"/>
  <c r="B10" i="5" s="1"/>
  <c r="E65" i="11"/>
  <c r="E11" i="11"/>
  <c r="E31" i="11"/>
  <c r="E42" i="3"/>
  <c r="F55" i="7"/>
  <c r="F52" i="7" s="1"/>
  <c r="F54" i="7" s="1"/>
  <c r="G55" i="7"/>
  <c r="G52" i="7" s="1"/>
  <c r="G54" i="7" s="1"/>
  <c r="E55" i="7"/>
  <c r="E52" i="7" s="1"/>
  <c r="E54" i="7" s="1"/>
  <c r="F48" i="7"/>
  <c r="G48" i="7"/>
  <c r="E48" i="7"/>
  <c r="F26" i="7"/>
  <c r="G26" i="7"/>
  <c r="F32" i="7"/>
  <c r="F29" i="7" s="1"/>
  <c r="F31" i="7" s="1"/>
  <c r="G32" i="7"/>
  <c r="G29" i="7" s="1"/>
  <c r="G31" i="7" s="1"/>
  <c r="F42" i="7"/>
  <c r="F37" i="7" s="1"/>
  <c r="F39" i="7" s="1"/>
  <c r="G42" i="7"/>
  <c r="G37" i="7" s="1"/>
  <c r="G39" i="7" s="1"/>
  <c r="E42" i="7"/>
  <c r="E37" i="7" s="1"/>
  <c r="E39" i="7" s="1"/>
  <c r="E32" i="7"/>
  <c r="E29" i="7" s="1"/>
  <c r="E31" i="7" s="1"/>
  <c r="G25" i="11"/>
  <c r="E26" i="7"/>
  <c r="E19" i="7"/>
  <c r="G19" i="7"/>
  <c r="G40" i="11"/>
  <c r="G266" i="7" l="1"/>
  <c r="G271" i="7"/>
  <c r="C42" i="5" l="1"/>
  <c r="C37" i="5"/>
  <c r="C32" i="5"/>
  <c r="C25" i="5"/>
  <c r="C22" i="5"/>
  <c r="C18" i="5"/>
  <c r="C11" i="5"/>
  <c r="F79" i="11"/>
  <c r="F78" i="11"/>
  <c r="F77" i="11"/>
  <c r="F76" i="11"/>
  <c r="F74" i="11"/>
  <c r="F73" i="11"/>
  <c r="F72" i="11"/>
  <c r="F71" i="11"/>
  <c r="F67" i="11"/>
  <c r="F66" i="11"/>
  <c r="F64" i="11"/>
  <c r="F63" i="11"/>
  <c r="F61" i="11"/>
  <c r="F60" i="11"/>
  <c r="F57" i="11"/>
  <c r="F56" i="11"/>
  <c r="F54" i="11"/>
  <c r="F53" i="11"/>
  <c r="F51" i="11"/>
  <c r="F50" i="11"/>
  <c r="F48" i="11"/>
  <c r="F47" i="11"/>
  <c r="F46" i="11"/>
  <c r="F45" i="11"/>
  <c r="F43" i="11"/>
  <c r="F42" i="11"/>
  <c r="F41" i="11"/>
  <c r="F34" i="11"/>
  <c r="F35" i="11" s="1"/>
  <c r="F27" i="11"/>
  <c r="F28" i="11" s="1"/>
  <c r="F25" i="11"/>
  <c r="F23" i="11"/>
  <c r="F21" i="11"/>
  <c r="F19" i="11"/>
  <c r="F16" i="11"/>
  <c r="F15" i="11"/>
  <c r="F12" i="11"/>
  <c r="F65" i="3"/>
  <c r="F64" i="3"/>
  <c r="F63" i="3"/>
  <c r="F62" i="3"/>
  <c r="F60" i="3"/>
  <c r="F58" i="3"/>
  <c r="F55" i="3"/>
  <c r="F53" i="3"/>
  <c r="F51" i="3"/>
  <c r="F49" i="3"/>
  <c r="F47" i="3"/>
  <c r="F45" i="3"/>
  <c r="F43" i="3"/>
  <c r="F31" i="3"/>
  <c r="F27" i="3"/>
  <c r="F25" i="3"/>
  <c r="F23" i="3"/>
  <c r="F21" i="3"/>
  <c r="F19" i="3"/>
  <c r="C10" i="5" l="1"/>
  <c r="F65" i="11"/>
  <c r="F24" i="11"/>
  <c r="F20" i="11"/>
  <c r="F17" i="11"/>
  <c r="F11" i="11"/>
  <c r="F40" i="11"/>
  <c r="F42" i="3"/>
  <c r="F18" i="3"/>
  <c r="F57" i="3"/>
  <c r="F30" i="3"/>
  <c r="F13" i="11"/>
  <c r="F33" i="11"/>
  <c r="F10" i="11" l="1"/>
  <c r="G18" i="1"/>
  <c r="G17" i="1" s="1"/>
  <c r="G16" i="1"/>
  <c r="G15" i="1"/>
  <c r="E77" i="11"/>
  <c r="I72" i="11"/>
  <c r="E72" i="11"/>
  <c r="H72" i="11"/>
  <c r="I67" i="11"/>
  <c r="I65" i="11"/>
  <c r="G65" i="11"/>
  <c r="E64" i="11"/>
  <c r="I64" i="11"/>
  <c r="I61" i="11"/>
  <c r="I57" i="11"/>
  <c r="E57" i="11"/>
  <c r="H57" i="11"/>
  <c r="I54" i="11"/>
  <c r="E54" i="11"/>
  <c r="E51" i="11"/>
  <c r="I51" i="11"/>
  <c r="I42" i="11"/>
  <c r="E42" i="11"/>
  <c r="I40" i="11"/>
  <c r="E40" i="11"/>
  <c r="I35" i="11"/>
  <c r="H35" i="11"/>
  <c r="G35" i="11"/>
  <c r="E35" i="11"/>
  <c r="I33" i="11"/>
  <c r="H33" i="11"/>
  <c r="I28" i="11"/>
  <c r="H28" i="11"/>
  <c r="G28" i="11"/>
  <c r="E28" i="11"/>
  <c r="I24" i="11"/>
  <c r="H24" i="11"/>
  <c r="G24" i="11"/>
  <c r="E24" i="11"/>
  <c r="G20" i="11"/>
  <c r="E20" i="11"/>
  <c r="I17" i="11"/>
  <c r="H17" i="11"/>
  <c r="E16" i="11"/>
  <c r="G17" i="11"/>
  <c r="G13" i="11"/>
  <c r="E13" i="11"/>
  <c r="I11" i="11"/>
  <c r="H11" i="11"/>
  <c r="G11" i="11"/>
  <c r="F43" i="1"/>
  <c r="G40" i="1" s="1"/>
  <c r="G43" i="1" s="1"/>
  <c r="H40" i="1" s="1"/>
  <c r="H43" i="1" s="1"/>
  <c r="I40" i="1" s="1"/>
  <c r="I43" i="1" s="1"/>
  <c r="J40" i="1" s="1"/>
  <c r="J43" i="1" s="1"/>
  <c r="J27" i="1"/>
  <c r="I27" i="1"/>
  <c r="H27" i="1"/>
  <c r="G27" i="1"/>
  <c r="F27" i="1"/>
  <c r="G14" i="1" l="1"/>
  <c r="G20" i="1" s="1"/>
  <c r="I10" i="11"/>
  <c r="H10" i="11"/>
  <c r="E33" i="11"/>
  <c r="G33" i="11"/>
  <c r="G10" i="11" s="1"/>
  <c r="H65" i="11"/>
  <c r="E10" i="11" l="1"/>
  <c r="G57" i="3"/>
  <c r="G42" i="3"/>
  <c r="G41" i="3" s="1"/>
  <c r="H42" i="3"/>
  <c r="I42" i="3"/>
  <c r="F256" i="7"/>
  <c r="F258" i="7" s="1"/>
  <c r="E256" i="7"/>
  <c r="G256" i="7"/>
  <c r="G255" i="7" s="1"/>
  <c r="E223" i="7"/>
  <c r="E225" i="7" s="1"/>
  <c r="E174" i="7"/>
  <c r="E178" i="7" s="1"/>
  <c r="E149" i="7"/>
  <c r="E152" i="7" s="1"/>
  <c r="F156" i="7"/>
  <c r="G156" i="7"/>
  <c r="G158" i="7" s="1"/>
  <c r="E156" i="7"/>
  <c r="E159" i="7" s="1"/>
  <c r="E255" i="7" l="1"/>
  <c r="E258" i="7"/>
  <c r="F255" i="7"/>
  <c r="E372" i="7" l="1"/>
  <c r="F372" i="7"/>
  <c r="G372" i="7"/>
  <c r="E365" i="7"/>
  <c r="F365" i="7"/>
  <c r="G365" i="7"/>
  <c r="E359" i="7"/>
  <c r="E358" i="7" s="1"/>
  <c r="F359" i="7"/>
  <c r="G359" i="7"/>
  <c r="F361" i="7" l="1"/>
  <c r="F358" i="7"/>
  <c r="G361" i="7"/>
  <c r="G358" i="7"/>
  <c r="G364" i="7"/>
  <c r="G367" i="7"/>
  <c r="E364" i="7"/>
  <c r="E367" i="7"/>
  <c r="E361" i="7"/>
  <c r="G371" i="7"/>
  <c r="G370" i="7" s="1"/>
  <c r="G374" i="7"/>
  <c r="F371" i="7"/>
  <c r="F370" i="7" s="1"/>
  <c r="F374" i="7"/>
  <c r="F367" i="7"/>
  <c r="F364" i="7"/>
  <c r="E371" i="7"/>
  <c r="E370" i="7" s="1"/>
  <c r="E374" i="7"/>
  <c r="E352" i="7" l="1"/>
  <c r="E354" i="7" s="1"/>
  <c r="F352" i="7"/>
  <c r="F354" i="7" s="1"/>
  <c r="G352" i="7"/>
  <c r="G354" i="7" s="1"/>
  <c r="E347" i="7"/>
  <c r="E349" i="7" s="1"/>
  <c r="F347" i="7"/>
  <c r="F349" i="7" s="1"/>
  <c r="G347" i="7"/>
  <c r="G349" i="7" s="1"/>
  <c r="E341" i="7"/>
  <c r="F341" i="7"/>
  <c r="G341" i="7"/>
  <c r="E334" i="7"/>
  <c r="F334" i="7"/>
  <c r="G334" i="7"/>
  <c r="E328" i="7"/>
  <c r="F328" i="7"/>
  <c r="G328" i="7"/>
  <c r="E321" i="7"/>
  <c r="F321" i="7"/>
  <c r="G321" i="7"/>
  <c r="E314" i="7"/>
  <c r="F314" i="7"/>
  <c r="G314" i="7"/>
  <c r="F333" i="7" l="1"/>
  <c r="F336" i="7"/>
  <c r="E320" i="7"/>
  <c r="E324" i="7"/>
  <c r="G333" i="7"/>
  <c r="G336" i="7"/>
  <c r="E313" i="7"/>
  <c r="E316" i="7"/>
  <c r="E340" i="7"/>
  <c r="E339" i="7" s="1"/>
  <c r="E343" i="7"/>
  <c r="G320" i="7"/>
  <c r="G324" i="7"/>
  <c r="F327" i="7"/>
  <c r="F330" i="7"/>
  <c r="E333" i="7"/>
  <c r="E336" i="7"/>
  <c r="F313" i="7"/>
  <c r="F316" i="7"/>
  <c r="F343" i="7"/>
  <c r="F340" i="7"/>
  <c r="F339" i="7" s="1"/>
  <c r="G327" i="7"/>
  <c r="G330" i="7"/>
  <c r="G313" i="7"/>
  <c r="G316" i="7"/>
  <c r="F320" i="7"/>
  <c r="F319" i="7" s="1"/>
  <c r="F324" i="7"/>
  <c r="E327" i="7"/>
  <c r="E330" i="7"/>
  <c r="G343" i="7"/>
  <c r="G340" i="7"/>
  <c r="G339" i="7" s="1"/>
  <c r="E319" i="7"/>
  <c r="E306" i="7"/>
  <c r="E308" i="7" s="1"/>
  <c r="F306" i="7"/>
  <c r="F308" i="7" s="1"/>
  <c r="G306" i="7"/>
  <c r="G308" i="7" s="1"/>
  <c r="E298" i="7"/>
  <c r="F298" i="7"/>
  <c r="G298" i="7"/>
  <c r="E291" i="7"/>
  <c r="F291" i="7"/>
  <c r="G291" i="7"/>
  <c r="E279" i="7"/>
  <c r="F279" i="7"/>
  <c r="G279" i="7"/>
  <c r="E228" i="7"/>
  <c r="F228" i="7"/>
  <c r="G228" i="7"/>
  <c r="E216" i="7"/>
  <c r="F216" i="7"/>
  <c r="G216" i="7"/>
  <c r="E207" i="7"/>
  <c r="E209" i="7" s="1"/>
  <c r="E196" i="7"/>
  <c r="E198" i="7" s="1"/>
  <c r="F196" i="7"/>
  <c r="F198" i="7" s="1"/>
  <c r="G196" i="7"/>
  <c r="G198" i="7" s="1"/>
  <c r="E189" i="7"/>
  <c r="F189" i="7"/>
  <c r="G189" i="7"/>
  <c r="E144" i="7"/>
  <c r="F144" i="7"/>
  <c r="F143" i="7" s="1"/>
  <c r="G144" i="7"/>
  <c r="G143" i="7" s="1"/>
  <c r="E136" i="7"/>
  <c r="E138" i="7" s="1"/>
  <c r="F136" i="7"/>
  <c r="F140" i="7" s="1"/>
  <c r="G136" i="7"/>
  <c r="E130" i="7"/>
  <c r="E133" i="7" s="1"/>
  <c r="F130" i="7"/>
  <c r="F133" i="7" s="1"/>
  <c r="G130" i="7"/>
  <c r="G133" i="7" s="1"/>
  <c r="E98" i="7"/>
  <c r="E105" i="7" s="1"/>
  <c r="F98" i="7"/>
  <c r="F105" i="7" s="1"/>
  <c r="G98" i="7"/>
  <c r="G105" i="7" s="1"/>
  <c r="E89" i="7"/>
  <c r="E81" i="7"/>
  <c r="F81" i="7"/>
  <c r="F80" i="7" s="1"/>
  <c r="G81" i="7"/>
  <c r="G80" i="7" s="1"/>
  <c r="E73" i="7"/>
  <c r="E68" i="7"/>
  <c r="F68" i="7"/>
  <c r="G68" i="7"/>
  <c r="G45" i="7"/>
  <c r="E45" i="7"/>
  <c r="E25" i="7"/>
  <c r="E23" i="7" s="1"/>
  <c r="F25" i="7"/>
  <c r="F23" i="7" s="1"/>
  <c r="G25" i="7"/>
  <c r="G23" i="7" s="1"/>
  <c r="E16" i="7"/>
  <c r="F16" i="7"/>
  <c r="G16" i="7"/>
  <c r="F215" i="7" l="1"/>
  <c r="F218" i="7"/>
  <c r="G222" i="7"/>
  <c r="G232" i="7"/>
  <c r="G215" i="7"/>
  <c r="G218" i="7"/>
  <c r="F222" i="7"/>
  <c r="F232" i="7"/>
  <c r="E215" i="7"/>
  <c r="E218" i="7"/>
  <c r="G187" i="7"/>
  <c r="G192" i="7"/>
  <c r="E222" i="7"/>
  <c r="E232" i="7"/>
  <c r="F187" i="7"/>
  <c r="F192" i="7"/>
  <c r="E187" i="7"/>
  <c r="E192" i="7"/>
  <c r="E143" i="7"/>
  <c r="E146" i="7"/>
  <c r="E80" i="7"/>
  <c r="E67" i="7"/>
  <c r="E70" i="7"/>
  <c r="G67" i="7"/>
  <c r="G70" i="7"/>
  <c r="G15" i="7"/>
  <c r="F67" i="7"/>
  <c r="F70" i="7"/>
  <c r="E15" i="7"/>
  <c r="G97" i="7"/>
  <c r="G319" i="7"/>
  <c r="G290" i="7"/>
  <c r="G294" i="7"/>
  <c r="F297" i="7"/>
  <c r="F300" i="7"/>
  <c r="F15" i="7"/>
  <c r="F97" i="7"/>
  <c r="G282" i="7"/>
  <c r="G278" i="7"/>
  <c r="F290" i="7"/>
  <c r="F294" i="7"/>
  <c r="E297" i="7"/>
  <c r="E300" i="7"/>
  <c r="F282" i="7"/>
  <c r="F278" i="7"/>
  <c r="E290" i="7"/>
  <c r="E294" i="7"/>
  <c r="E47" i="7"/>
  <c r="E36" i="7"/>
  <c r="G47" i="7"/>
  <c r="G36" i="7"/>
  <c r="E278" i="7"/>
  <c r="E282" i="7"/>
  <c r="G297" i="7"/>
  <c r="G300" i="7"/>
  <c r="E195" i="7"/>
  <c r="E97" i="7"/>
  <c r="F305" i="7"/>
  <c r="F303" i="7" s="1"/>
  <c r="E305" i="7"/>
  <c r="E303" i="7" s="1"/>
  <c r="G305" i="7"/>
  <c r="G303" i="7" s="1"/>
  <c r="F207" i="7"/>
  <c r="F267" i="7"/>
  <c r="E267" i="7"/>
  <c r="E271" i="7" s="1"/>
  <c r="G207" i="7"/>
  <c r="G195" i="7" s="1"/>
  <c r="F18" i="7"/>
  <c r="F45" i="7"/>
  <c r="E18" i="7"/>
  <c r="G18" i="7"/>
  <c r="F195" i="7" l="1"/>
  <c r="F95" i="7" s="1"/>
  <c r="F210" i="7"/>
  <c r="F266" i="7"/>
  <c r="F265" i="7" s="1"/>
  <c r="F271" i="7"/>
  <c r="E35" i="7"/>
  <c r="G95" i="7"/>
  <c r="G35" i="7"/>
  <c r="F47" i="7"/>
  <c r="F36" i="7"/>
  <c r="F35" i="7" s="1"/>
  <c r="G265" i="7"/>
  <c r="E14" i="7"/>
  <c r="E13" i="7" s="1"/>
  <c r="F14" i="7"/>
  <c r="F13" i="7" s="1"/>
  <c r="G14" i="7"/>
  <c r="G13" i="7" s="1"/>
  <c r="E266" i="7"/>
  <c r="E265" i="7" s="1"/>
  <c r="E95" i="7"/>
  <c r="E34" i="7" l="1"/>
  <c r="E12" i="7" s="1"/>
  <c r="G34" i="7"/>
  <c r="G12" i="7" s="1"/>
  <c r="F34" i="7"/>
  <c r="F12" i="7" s="1"/>
  <c r="H57" i="3" l="1"/>
  <c r="H41" i="3" s="1"/>
  <c r="I57" i="3"/>
  <c r="I41" i="3" s="1"/>
  <c r="E63" i="3"/>
  <c r="G18" i="3"/>
  <c r="H18" i="3"/>
  <c r="I18" i="3"/>
  <c r="G30" i="3"/>
  <c r="H30" i="3"/>
  <c r="I30" i="3"/>
  <c r="E30" i="3" l="1"/>
  <c r="E57" i="3"/>
  <c r="H17" i="1" l="1"/>
  <c r="J17" i="1"/>
  <c r="H14" i="1"/>
  <c r="I14" i="1"/>
  <c r="J14" i="1"/>
  <c r="J20" i="1" l="1"/>
  <c r="H20" i="1"/>
  <c r="F17" i="1"/>
  <c r="F14" i="1"/>
  <c r="I17" i="1"/>
  <c r="I20" i="1" s="1"/>
  <c r="H28" i="1" l="1"/>
  <c r="H35" i="1"/>
  <c r="J28" i="1"/>
  <c r="J34" i="1" s="1"/>
  <c r="J35" i="1" s="1"/>
  <c r="I28" i="1"/>
  <c r="I34" i="1" s="1"/>
  <c r="I35" i="1" s="1"/>
  <c r="F20" i="1"/>
  <c r="F28" i="1" s="1"/>
  <c r="F34" i="1" s="1"/>
  <c r="F35" i="1" s="1"/>
  <c r="G28" i="1" l="1"/>
  <c r="G34" i="1" s="1"/>
  <c r="G35" i="1" s="1"/>
</calcChain>
</file>

<file path=xl/sharedStrings.xml><?xml version="1.0" encoding="utf-8"?>
<sst xmlns="http://schemas.openxmlformats.org/spreadsheetml/2006/main" count="687" uniqueCount="301">
  <si>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</si>
  <si>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</si>
  <si>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</si>
  <si>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</si>
  <si>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</si>
  <si>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</si>
  <si>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</si>
  <si>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</si>
  <si>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</si>
  <si>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</si>
  <si>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Projekcija proračuna
za 2025.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</si>
  <si>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</si>
  <si>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</si>
  <si>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</si>
  <si>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</si>
  <si>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</si>
  <si>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</si>
  <si>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</si>
  <si>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</si>
  <si>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</si>
  <si>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</si>
  <si>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</si>
  <si>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</si>
  <si>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</si>
  <si>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</si>
  <si>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</si>
  <si>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</si>
  <si>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</si>
  <si>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</si>
  <si>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</si>
  <si>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</si>
  <si>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</si>
  <si>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</si>
  <si>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</si>
  <si>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</si>
  <si>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</si>
  <si>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</si>
  <si>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</si>
  <si>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</si>
  <si>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</si>
  <si>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</si>
  <si>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</si>
  <si>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</si>
  <si>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</si>
  <si>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</si>
  <si>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</si>
  <si>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</si>
  <si>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>Prijedlog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</si>
  <si>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</si>
  <si>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</si>
  <si>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</si>
  <si>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</si>
  <si>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</si>
  <si>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</si>
  <si>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</si>
  <si>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</si>
  <si>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</si>
  <si>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</si>
  <si>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</si>
  <si>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</si>
  <si>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</si>
  <si>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</si>
  <si>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</si>
  <si>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</si>
  <si>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</si>
  <si>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</si>
  <si>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</si>
  <si>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</si>
  <si>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</si>
  <si>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</si>
  <si>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</si>
  <si>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Izvor financiranja: 01 - Opći prihodi i primici</t>
  </si>
  <si>
    <t xml:space="preserve">Izvor financiranja: 01 -  Opći prihodi i primici </t>
  </si>
  <si>
    <t>Izvor financiranja: 05 - Pomoći</t>
  </si>
  <si>
    <t>RAZDJEL 002 JEDINSTVENI UPRAVNI ODJEL</t>
  </si>
  <si>
    <t>GLAVA 00201: Jedinstveni upravni odjel</t>
  </si>
  <si>
    <t xml:space="preserve">Izvor financiranja: 05 - Pomoći </t>
  </si>
  <si>
    <t>GLAVA 00202: Poljoprivreda i poduzetništvo</t>
  </si>
  <si>
    <t>i stočarstva</t>
  </si>
  <si>
    <t xml:space="preserve">GLAVA 00203: Prostorno planiranje, uređenje </t>
  </si>
  <si>
    <t>i komunalne djelatnosti</t>
  </si>
  <si>
    <t xml:space="preserve">Izvor financiranja: 01 - Opći prihodi i primici </t>
  </si>
  <si>
    <t>odvodnje i zaštite voda</t>
  </si>
  <si>
    <t>GLAVA 00204: Odgoj i obrazovanje</t>
  </si>
  <si>
    <t>Korisnik: Dječji vrtić "Košutica"</t>
  </si>
  <si>
    <t>Osnovnoj školi</t>
  </si>
  <si>
    <t>srednjih škola</t>
  </si>
  <si>
    <t xml:space="preserve">GLAVA 00205: ORGANIZACIJA I PROVOĐENJE ZAŠTITE </t>
  </si>
  <si>
    <t>I SPAŠAVANJA</t>
  </si>
  <si>
    <t>GLAVA 00206: REKREACIJA, KULTURA, RELIGIJA</t>
  </si>
  <si>
    <t>sportskih udruga</t>
  </si>
  <si>
    <t>GLAVA 00207: ZDRAVSTVO I SOCIJALNA SKRB</t>
  </si>
  <si>
    <t>Izvor financiranja; 01 - Opći prihodi i primici</t>
  </si>
  <si>
    <t>GLAVA 00208: POTICANJE RAZVOJA CIVIL. DRUŠTVA</t>
  </si>
  <si>
    <t xml:space="preserve">Rashodi za nabavu proizvedene dugotrajne imovine </t>
  </si>
  <si>
    <t xml:space="preserve">Financijski rashodi </t>
  </si>
  <si>
    <t xml:space="preserve">Izvor financiranja: 04 - Prihod za posebne namjene </t>
  </si>
  <si>
    <t>sportskih i rekreacijskih prostora</t>
  </si>
  <si>
    <t>vodovoda odvodnje</t>
  </si>
  <si>
    <t>Rashodi za dodatna ulaganja na nefinancijskoj imovini</t>
  </si>
  <si>
    <t>Financijski rashodi</t>
  </si>
  <si>
    <t>UKUPNO RASHODI I IZDACI</t>
  </si>
  <si>
    <t>01</t>
  </si>
  <si>
    <t>05</t>
  </si>
  <si>
    <t>Pomoći</t>
  </si>
  <si>
    <t>04</t>
  </si>
  <si>
    <t>Prihod za posebne namjene</t>
  </si>
  <si>
    <t>PRORAČUN OPĆINE FERDINANDOVAC ZA 2024. I PROJEKCIJA ZA 2025. I 2026. GODINU</t>
  </si>
  <si>
    <t xml:space="preserve">Izvršenje 2022. </t>
  </si>
  <si>
    <t xml:space="preserve">Plan 2023. </t>
  </si>
  <si>
    <t>EUR</t>
  </si>
  <si>
    <t>Proračun za 2024.</t>
  </si>
  <si>
    <t>Projekcija proračuna
za 2026.</t>
  </si>
  <si>
    <t xml:space="preserve">C) PRENESENI VIŠAK ILI PRENESENI MANJAK </t>
  </si>
  <si>
    <t>Plan 2023.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</si>
  <si>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</si>
  <si>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</si>
  <si>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</si>
  <si>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</si>
  <si>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</si>
  <si>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</si>
  <si>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</si>
  <si>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Izvršenje 2022.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</si>
  <si>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</si>
  <si>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</si>
  <si>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</si>
  <si>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</si>
  <si>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</si>
  <si>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</si>
  <si>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</si>
  <si>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</si>
  <si>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</si>
  <si>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</si>
  <si>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</si>
  <si>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</si>
  <si>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</si>
  <si>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</si>
  <si>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</si>
  <si>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</si>
  <si>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</si>
  <si>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</si>
  <si>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</si>
  <si>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</si>
  <si>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</si>
  <si>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</si>
  <si>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</si>
  <si>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</si>
  <si>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</si>
  <si>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</si>
  <si>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</si>
  <si>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</si>
  <si>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</si>
  <si>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</si>
  <si>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</si>
  <si>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</si>
  <si>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</si>
  <si>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</si>
  <si>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</si>
  <si>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</si>
  <si>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</si>
  <si>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</si>
  <si>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</si>
  <si>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</si>
  <si>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</si>
  <si>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</si>
  <si>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</si>
  <si>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</si>
  <si>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</si>
  <si>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</si>
  <si>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</si>
  <si>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</si>
  <si>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</si>
  <si>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</si>
  <si>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</si>
  <si>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</si>
  <si>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</si>
  <si>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</si>
  <si>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</si>
  <si>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</si>
  <si>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</si>
  <si>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</si>
  <si>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</si>
  <si>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</si>
  <si>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Članak 1.</t>
  </si>
  <si>
    <t>Članak 2.</t>
  </si>
  <si>
    <t>Prihodi i rashodi te primici i izdaci po ekonomskoj klasifikaciji utvrđeni su u proračunu, u A) Računu prihoda i rashoda i B) Računu financiranja, kako slijedi:</t>
  </si>
  <si>
    <t>klasifikaciji i prema izvorima financiranja.</t>
  </si>
  <si>
    <t xml:space="preserve">U Računu prihoda i rashoda iskazani su prihodi poslovanja i prihodi od prodaje nefinancijske imovine te rashodi poslovanja i rashodi za nabavu nefinancijske imovine prema ekonomskoj </t>
  </si>
  <si>
    <t>UKUPNO PRIHODI</t>
  </si>
  <si>
    <t>UKUPNO RASHODI</t>
  </si>
  <si>
    <t>U računu financiranja iskazani su primici i izdaci prema ekonomskoj klasifikaciji i prema izvorima financiranja.</t>
  </si>
  <si>
    <t>C. PRENESENI VIŠAK ILI PRENESENI MANJAK</t>
  </si>
  <si>
    <t>UKUPAN DONOS VIŠKA/MANJKA IZ</t>
  </si>
  <si>
    <t>2025.</t>
  </si>
  <si>
    <t>2026.</t>
  </si>
  <si>
    <t>2024.</t>
  </si>
  <si>
    <t>Vlastiti izvori</t>
  </si>
  <si>
    <t>Rezultat poslovanja</t>
  </si>
  <si>
    <t>Eur</t>
  </si>
  <si>
    <t>Članak 3.</t>
  </si>
  <si>
    <t>i ekonomskoj klasifikaciji po izvorima financiranja kako slijedi:</t>
  </si>
  <si>
    <t xml:space="preserve">Rashodi i izdaci proračuna u iznosu 2.025.661,00 eura raspoređuju se prema organizacijskoj, programskoj </t>
  </si>
  <si>
    <t>Članak 4.</t>
  </si>
  <si>
    <t>Obrazloženje Proračuna sastoji se od obrazloženja općeg i posebnog dijela proračuna i njegov je sastavni dio.</t>
  </si>
  <si>
    <t>ZAVRŠNA ODREDBA</t>
  </si>
  <si>
    <t>Članak 5.</t>
  </si>
  <si>
    <t xml:space="preserve">Proračun će se objaviti u "Službenom glasniku Koprivničko-križevačke županije", a stupa na snagu 1. siječnja </t>
  </si>
  <si>
    <t xml:space="preserve">2024. godine. </t>
  </si>
  <si>
    <t>Kazne, upravne mjere i ostali prihodi</t>
  </si>
  <si>
    <t>PRETHODNE(IH) GODINE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</si>
  <si>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</si>
  <si>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</si>
  <si>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</si>
  <si>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 xml:space="preserve">Aktivnost A100001 Općinski načelnik </t>
  </si>
  <si>
    <t>Aktivnost A100003 Izbori za EU parlament, predsjednički i Hrvatski sabor</t>
  </si>
  <si>
    <t>Aktivnost A100201 Redovni rad Jedinstvenog upravnog odjela</t>
  </si>
  <si>
    <t>Aktivnost A100202 Financije</t>
  </si>
  <si>
    <t xml:space="preserve">Aktivnost A100203 - Izrada dokumentacije 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</si>
  <si>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</si>
  <si>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</si>
  <si>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</si>
  <si>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 xml:space="preserve">Aktivnost A100501 Poticanje poljoprivredne proizvodnje </t>
  </si>
  <si>
    <t>Aktivnost A100601 Subvencije u turizmu</t>
  </si>
  <si>
    <t>Program 1007: Održavanje komunalne infrastrukture</t>
  </si>
  <si>
    <t>Aktivnost A100701 Održavanje  nerazvrstanih</t>
  </si>
  <si>
    <t>cesta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</si>
  <si>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</si>
  <si>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</si>
  <si>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</si>
  <si>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</si>
  <si>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</si>
  <si>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</si>
  <si>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 xml:space="preserve">Kapitalni projekt KP100801 Uređenje parka na Trgu slobode </t>
  </si>
  <si>
    <t xml:space="preserve">Kapitalni projekt KP100802 Rekonstrukcija </t>
  </si>
  <si>
    <t>Kapitalni projekt KP100803 Rekonstrukcija pješačke staze u Dravskoj ulici</t>
  </si>
  <si>
    <t>Kapitalni projekt  KP100804 Uređenje križanja ulice Trg slobode i P. Preradovića izradom horizontalnog usporivača</t>
  </si>
  <si>
    <t>Kapitalni projekt KP100805 Izgradnja dijela nerazvrstane ceste, naselje Brodić NC 24</t>
  </si>
  <si>
    <t>Kapitalni projekt KP100806 Uređenje groblja izgradnjom staze i ugradnjom solarne rasvjete</t>
  </si>
  <si>
    <t xml:space="preserve">Kapitalni projekt KP100807 Rekonstrukcija i gradnja nerazvrstanih cesta </t>
  </si>
  <si>
    <t>Kapitalni projekt KP100901 Izgradnja sekundarnog</t>
  </si>
  <si>
    <t>Aktivnost A101001 Zaštita i uređenje okoliša</t>
  </si>
  <si>
    <t>Aktivnost A101002 Održavanje zatvorenog i saniranog odlagališta otpada Orl</t>
  </si>
  <si>
    <t>Kapitalni projekt KP101003 Nabava opreme za zaštitu okoliša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</si>
  <si>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</si>
  <si>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</si>
  <si>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</si>
  <si>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 xml:space="preserve">Aktivnost  A101203 Održavanje građ. objekata u vlasništvu Općine </t>
  </si>
  <si>
    <t>Kapitalni projekt KP101204  Rekonstrukcija i dodatna ulaganja na dječjem vrtiću Košutica Ferdinandovac</t>
  </si>
  <si>
    <t>Kapitalni projekt KP101205 Rekonstrukcija i dodatna ulaganja na građevinskim objektima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</si>
  <si>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</si>
  <si>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</si>
  <si>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</si>
  <si>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</si>
  <si>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</si>
  <si>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</si>
  <si>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</si>
  <si>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</si>
  <si>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</si>
  <si>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</si>
  <si>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</si>
  <si>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</si>
  <si>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</si>
  <si>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</si>
  <si>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</si>
  <si>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</si>
  <si>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</si>
  <si>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</si>
  <si>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</si>
  <si>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</si>
  <si>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</si>
  <si>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</si>
  <si>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</si>
  <si>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</si>
  <si>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</si>
  <si>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</si>
  <si>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</si>
  <si>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</si>
  <si>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</si>
  <si>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</si>
  <si>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</si>
  <si>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</si>
  <si>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</si>
  <si>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</si>
  <si>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</si>
  <si>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</si>
  <si>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</si>
  <si>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Izvor financiranja: 05 - Pomoći (DP)</t>
  </si>
  <si>
    <t>Izvor financiranja: 04 - Prihod za posebne namjene (grobna naknada)</t>
  </si>
  <si>
    <t>Izvor financiranja: 05 - Pomoći (HZZ)</t>
  </si>
  <si>
    <t>Izvor financiranja: 05 - Pomoći (KC-KŽ županija)</t>
  </si>
  <si>
    <t>Izvor financiranja: 04 - Prihod za posebne namjene (Komunalna naknada)</t>
  </si>
  <si>
    <t>Izvor financiranja: 04 - Prihod za posebne namjene (Šumski doprinos)</t>
  </si>
  <si>
    <t>Izvor financiranja: 04 - Prihod za posebne namjene (Koncesije)</t>
  </si>
  <si>
    <t>Izvor financiranja: 04 - Prihod za posebne namjene (Komunalni doprinos)</t>
  </si>
  <si>
    <t>Izvor financiranja: 04 - Prihod za posebne namjene (Vodni doprinos)</t>
  </si>
  <si>
    <t>Izvor financiranja: 04 - Prihod za posebne namjene (zakup dr. zemlje)</t>
  </si>
  <si>
    <t>Izvor financiranja: 04 - Prihod za posebne namjene (prenamjena zemljišta)</t>
  </si>
  <si>
    <t xml:space="preserve">           Na temelju članka 42. Zakona o proračunu ("Narodne novine 144/21") i članka 31. Statuta Općine Ferdinandovac ("Službeni glasnik Koprivničko-križevačke županije" broj: 6/13, 1/18, 5/20. i 4/21) Općinsko vijeće Općine Ferdinandovac na ______. sjednici održanoj ________.2023. godine donijelo je</t>
  </si>
  <si>
    <t>Ferdinandovac, ______ 2023.</t>
  </si>
  <si>
    <t>URBROJ: 2137-15-23-____</t>
  </si>
  <si>
    <t>KLASA: 400-05/23-01/2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</si>
</sst>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07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5" fillId="0" borderId="0" xfId="0" applyFont="1"/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8" fillId="5" borderId="1" xfId="0" applyFont="1" applyFill="1" applyBorder="1" applyAlignment="1">
      <alignment horizontal="left"/>
    </xf>
    <xf numFmtId="0" fontId="8" fillId="5" borderId="3" xfId="0" applyFont="1" applyFill="1" applyBorder="1"/>
    <xf numFmtId="0" fontId="8" fillId="5" borderId="3" xfId="0" applyFont="1" applyFill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0" fontId="8" fillId="5" borderId="2" xfId="0" applyFont="1" applyFill="1" applyBorder="1"/>
    <xf numFmtId="0" fontId="8" fillId="5" borderId="1" xfId="0" applyFont="1" applyFill="1" applyBorder="1"/>
    <xf numFmtId="4" fontId="0" fillId="0" borderId="3" xfId="0" applyNumberFormat="1" applyBorder="1" applyAlignment="1">
      <alignment horizontal="right"/>
    </xf>
    <xf numFmtId="4" fontId="8" fillId="5" borderId="3" xfId="0" applyNumberFormat="1" applyFont="1" applyFill="1" applyBorder="1" applyAlignment="1">
      <alignment horizontal="right"/>
    </xf>
    <xf numFmtId="4" fontId="8" fillId="5" borderId="3" xfId="0" applyNumberFormat="1" applyFont="1" applyFill="1" applyBorder="1" applyAlignment="1">
      <alignment horizontal="right" shrinkToFit="1"/>
    </xf>
    <xf numFmtId="4" fontId="7" fillId="3" borderId="4" xfId="0" applyNumberFormat="1" applyFont="1" applyFill="1" applyBorder="1" applyAlignment="1">
      <alignment horizontal="right" shrinkToFit="1"/>
    </xf>
    <xf numFmtId="4" fontId="7" fillId="3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 applyAlignment="1">
      <alignment horizontal="right"/>
    </xf>
    <xf numFmtId="0" fontId="16" fillId="6" borderId="3" xfId="0" applyFont="1" applyFill="1" applyBorder="1"/>
    <xf numFmtId="0" fontId="0" fillId="6" borderId="3" xfId="0" applyFill="1" applyBorder="1"/>
    <xf numFmtId="4" fontId="17" fillId="6" borderId="3" xfId="0" applyNumberFormat="1" applyFont="1" applyFill="1" applyBorder="1"/>
    <xf numFmtId="4" fontId="0" fillId="6" borderId="3" xfId="0" applyNumberFormat="1" applyFill="1" applyBorder="1" applyAlignment="1">
      <alignment horizontal="right"/>
    </xf>
    <xf numFmtId="4" fontId="16" fillId="6" borderId="3" xfId="0" applyNumberFormat="1" applyFont="1" applyFill="1" applyBorder="1" applyAlignment="1">
      <alignment horizontal="right" shrinkToFit="1"/>
    </xf>
    <xf numFmtId="0" fontId="10" fillId="6" borderId="3" xfId="0" applyFont="1" applyFill="1" applyBorder="1" applyAlignment="1">
      <alignment horizontal="left"/>
    </xf>
    <xf numFmtId="4" fontId="16" fillId="6" borderId="3" xfId="0" applyNumberFormat="1" applyFont="1" applyFill="1" applyBorder="1" applyAlignment="1">
      <alignment horizontal="right"/>
    </xf>
    <xf numFmtId="0" fontId="0" fillId="6" borderId="1" xfId="0" applyFill="1" applyBorder="1"/>
    <xf numFmtId="4" fontId="17" fillId="6" borderId="3" xfId="0" applyNumberFormat="1" applyFont="1" applyFill="1" applyBorder="1" applyAlignment="1">
      <alignment horizontal="right"/>
    </xf>
    <xf numFmtId="0" fontId="16" fillId="6" borderId="6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4" fontId="1" fillId="6" borderId="3" xfId="0" applyNumberFormat="1" applyFont="1" applyFill="1" applyBorder="1"/>
    <xf numFmtId="4" fontId="10" fillId="6" borderId="3" xfId="0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3" xfId="0" applyNumberFormat="1" applyFont="1" applyFill="1" applyBorder="1"/>
    <xf numFmtId="0" fontId="16" fillId="6" borderId="5" xfId="0" applyFont="1" applyFill="1" applyBorder="1"/>
    <xf numFmtId="4" fontId="10" fillId="6" borderId="3" xfId="0" applyNumberFormat="1" applyFont="1" applyFill="1" applyBorder="1" applyAlignment="1">
      <alignment horizontal="right" shrinkToFit="1"/>
    </xf>
    <xf numFmtId="0" fontId="16" fillId="7" borderId="3" xfId="0" applyFont="1" applyFill="1" applyBorder="1" applyAlignment="1">
      <alignment horizontal="left"/>
    </xf>
    <xf numFmtId="4" fontId="16" fillId="7" borderId="3" xfId="0" applyNumberFormat="1" applyFont="1" applyFill="1" applyBorder="1" applyAlignment="1">
      <alignment horizontal="right"/>
    </xf>
    <xf numFmtId="0" fontId="16" fillId="7" borderId="3" xfId="0" applyFont="1" applyFill="1" applyBorder="1"/>
    <xf numFmtId="4" fontId="1" fillId="7" borderId="3" xfId="0" applyNumberFormat="1" applyFont="1" applyFill="1" applyBorder="1" applyAlignment="1">
      <alignment horizontal="right"/>
    </xf>
    <xf numFmtId="4" fontId="16" fillId="7" borderId="3" xfId="0" applyNumberFormat="1" applyFont="1" applyFill="1" applyBorder="1" applyAlignment="1">
      <alignment horizontal="right" shrinkToFit="1"/>
    </xf>
    <xf numFmtId="4" fontId="16" fillId="7" borderId="3" xfId="0" applyNumberFormat="1" applyFont="1" applyFill="1" applyBorder="1"/>
    <xf numFmtId="0" fontId="16" fillId="7" borderId="6" xfId="0" applyFont="1" applyFill="1" applyBorder="1"/>
    <xf numFmtId="0" fontId="16" fillId="7" borderId="5" xfId="0" applyFont="1" applyFill="1" applyBorder="1"/>
    <xf numFmtId="4" fontId="16" fillId="7" borderId="1" xfId="0" applyNumberFormat="1" applyFont="1" applyFill="1" applyBorder="1"/>
    <xf numFmtId="0" fontId="10" fillId="7" borderId="3" xfId="0" applyFont="1" applyFill="1" applyBorder="1" applyAlignment="1">
      <alignment horizontal="left"/>
    </xf>
    <xf numFmtId="4" fontId="10" fillId="7" borderId="3" xfId="0" applyNumberFormat="1" applyFont="1" applyFill="1" applyBorder="1" applyAlignment="1">
      <alignment horizontal="right"/>
    </xf>
    <xf numFmtId="4" fontId="16" fillId="7" borderId="4" xfId="0" applyNumberFormat="1" applyFont="1" applyFill="1" applyBorder="1" applyAlignment="1">
      <alignment horizontal="right"/>
    </xf>
    <xf numFmtId="0" fontId="16" fillId="8" borderId="3" xfId="0" applyFont="1" applyFill="1" applyBorder="1"/>
    <xf numFmtId="0" fontId="0" fillId="8" borderId="3" xfId="0" applyFill="1" applyBorder="1"/>
    <xf numFmtId="4" fontId="0" fillId="8" borderId="3" xfId="0" applyNumberFormat="1" applyFill="1" applyBorder="1" applyAlignment="1">
      <alignment horizontal="right"/>
    </xf>
    <xf numFmtId="4" fontId="16" fillId="9" borderId="3" xfId="0" applyNumberFormat="1" applyFont="1" applyFill="1" applyBorder="1" applyAlignment="1">
      <alignment horizontal="right" shrinkToFit="1"/>
    </xf>
    <xf numFmtId="0" fontId="16" fillId="9" borderId="3" xfId="0" applyFont="1" applyFill="1" applyBorder="1"/>
    <xf numFmtId="4" fontId="16" fillId="9" borderId="3" xfId="0" applyNumberFormat="1" applyFont="1" applyFill="1" applyBorder="1"/>
    <xf numFmtId="0" fontId="10" fillId="9" borderId="7" xfId="0" applyFont="1" applyFill="1" applyBorder="1"/>
    <xf numFmtId="0" fontId="16" fillId="9" borderId="7" xfId="0" applyFont="1" applyFill="1" applyBorder="1"/>
    <xf numFmtId="0" fontId="0" fillId="0" borderId="0" xfId="0" applyAlignment="1">
      <alignment horizontal="left"/>
    </xf>
    <xf numFmtId="0" fontId="8" fillId="0" borderId="3" xfId="0" quotePrefix="1" applyFont="1" applyBorder="1" applyAlignment="1">
      <alignment horizontal="left" vertical="center"/>
    </xf>
    <xf numFmtId="49" fontId="9" fillId="0" borderId="3" xfId="0" quotePrefix="1" applyNumberFormat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0" borderId="0" xfId="0" applyFont="1"/>
    <xf numFmtId="49" fontId="10" fillId="2" borderId="3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9" fillId="2" borderId="3" xfId="0" quotePrefix="1" applyNumberFormat="1" applyFont="1" applyFill="1" applyBorder="1" applyAlignment="1">
      <alignment horizontal="left" vertical="center"/>
    </xf>
    <xf numFmtId="49" fontId="10" fillId="2" borderId="3" xfId="0" applyNumberFormat="1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/>
    </xf>
    <xf numFmtId="0" fontId="1" fillId="0" borderId="0" xfId="0" applyFont="1"/>
    <xf numFmtId="0" fontId="13" fillId="0" borderId="0" xfId="0" applyFont="1"/>
    <xf numFmtId="0" fontId="21" fillId="0" borderId="0" xfId="0" applyFont="1"/>
    <xf numFmtId="0" fontId="23" fillId="0" borderId="0" xfId="0" applyFont="1"/>
    <xf numFmtId="4" fontId="3" fillId="0" borderId="3" xfId="0" applyNumberFormat="1" applyFont="1" applyBorder="1" applyAlignment="1">
      <alignment horizontal="right" wrapText="1"/>
    </xf>
    <xf numFmtId="4" fontId="1" fillId="6" borderId="3" xfId="0" applyNumberFormat="1" applyFont="1" applyFill="1" applyBorder="1" applyAlignment="1">
      <alignment horizontal="right"/>
    </xf>
    <xf numFmtId="0" fontId="24" fillId="0" borderId="0" xfId="0" applyFont="1"/>
    <xf numFmtId="4" fontId="6" fillId="0" borderId="3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16" fillId="0" borderId="7" xfId="0" applyNumberFormat="1" applyFont="1" applyBorder="1" applyAlignment="1">
      <alignment horizontal="right" shrinkToFit="1"/>
    </xf>
    <xf numFmtId="4" fontId="8" fillId="0" borderId="7" xfId="0" applyNumberFormat="1" applyFont="1" applyBorder="1" applyAlignment="1">
      <alignment horizontal="right" shrinkToFit="1"/>
    </xf>
    <xf numFmtId="4" fontId="16" fillId="5" borderId="7" xfId="0" applyNumberFormat="1" applyFont="1" applyFill="1" applyBorder="1" applyAlignment="1">
      <alignment horizontal="right" shrinkToFit="1"/>
    </xf>
    <xf numFmtId="0" fontId="21" fillId="0" borderId="3" xfId="0" applyFont="1" applyBorder="1" applyAlignment="1">
      <alignment wrapText="1"/>
    </xf>
    <xf numFmtId="4" fontId="20" fillId="5" borderId="7" xfId="0" applyNumberFormat="1" applyFont="1" applyFill="1" applyBorder="1" applyAlignment="1">
      <alignment horizontal="right" shrinkToFit="1"/>
    </xf>
    <xf numFmtId="4" fontId="21" fillId="0" borderId="0" xfId="0" applyNumberFormat="1" applyFont="1"/>
    <xf numFmtId="49" fontId="21" fillId="0" borderId="0" xfId="0" applyNumberFormat="1" applyFont="1"/>
    <xf numFmtId="0" fontId="21" fillId="0" borderId="3" xfId="0" applyFont="1" applyBorder="1"/>
    <xf numFmtId="4" fontId="21" fillId="0" borderId="3" xfId="0" applyNumberFormat="1" applyFont="1" applyBorder="1"/>
    <xf numFmtId="4" fontId="23" fillId="0" borderId="3" xfId="0" applyNumberFormat="1" applyFont="1" applyBorder="1"/>
    <xf numFmtId="4" fontId="23" fillId="0" borderId="0" xfId="0" applyNumberFormat="1" applyFont="1"/>
    <xf numFmtId="0" fontId="11" fillId="0" borderId="0" xfId="0" applyFont="1" applyAlignment="1">
      <alignment wrapText="1"/>
    </xf>
    <xf numFmtId="0" fontId="10" fillId="0" borderId="0" xfId="0" quotePrefix="1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0" fontId="27" fillId="0" borderId="0" xfId="0" quotePrefix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6" fillId="10" borderId="1" xfId="0" applyFont="1" applyFill="1" applyBorder="1" applyAlignment="1">
      <alignment horizontal="left"/>
    </xf>
    <xf numFmtId="0" fontId="16" fillId="10" borderId="2" xfId="0" applyFont="1" applyFill="1" applyBorder="1" applyAlignment="1">
      <alignment horizontal="left"/>
    </xf>
    <xf numFmtId="0" fontId="16" fillId="10" borderId="4" xfId="0" applyFont="1" applyFill="1" applyBorder="1" applyAlignment="1">
      <alignment horizontal="left"/>
    </xf>
    <xf numFmtId="4" fontId="16" fillId="10" borderId="3" xfId="0" applyNumberFormat="1" applyFont="1" applyFill="1" applyBorder="1" applyAlignment="1">
      <alignment horizontal="right"/>
    </xf>
    <xf numFmtId="4" fontId="16" fillId="10" borderId="3" xfId="0" applyNumberFormat="1" applyFont="1" applyFill="1" applyBorder="1"/>
    <xf numFmtId="0" fontId="16" fillId="10" borderId="2" xfId="0" applyFont="1" applyFill="1" applyBorder="1" applyAlignment="1">
      <alignment horizontal="left" wrapText="1"/>
    </xf>
    <xf numFmtId="0" fontId="16" fillId="10" borderId="5" xfId="0" applyFont="1" applyFill="1" applyBorder="1" applyAlignment="1">
      <alignment horizontal="left"/>
    </xf>
    <xf numFmtId="0" fontId="16" fillId="10" borderId="11" xfId="0" applyFont="1" applyFill="1" applyBorder="1" applyAlignment="1">
      <alignment horizontal="left"/>
    </xf>
    <xf numFmtId="0" fontId="16" fillId="10" borderId="12" xfId="0" applyFont="1" applyFill="1" applyBorder="1" applyAlignment="1">
      <alignment horizontal="right"/>
    </xf>
    <xf numFmtId="0" fontId="16" fillId="10" borderId="6" xfId="0" applyFont="1" applyFill="1" applyBorder="1" applyAlignment="1">
      <alignment horizontal="left"/>
    </xf>
    <xf numFmtId="0" fontId="12" fillId="0" borderId="0" xfId="0" applyFont="1" applyAlignment="1">
      <alignment vertical="center" wrapText="1"/>
    </xf>
    <xf numFmtId="4" fontId="6" fillId="6" borderId="3" xfId="0" applyNumberFormat="1" applyFont="1" applyFill="1" applyBorder="1" applyAlignment="1">
      <alignment horizontal="right"/>
    </xf>
    <xf numFmtId="0" fontId="2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4" borderId="6" xfId="0" applyFill="1" applyBorder="1"/>
    <xf numFmtId="0" fontId="0" fillId="4" borderId="5" xfId="0" applyFill="1" applyBorder="1"/>
    <xf numFmtId="0" fontId="0" fillId="4" borderId="11" xfId="0" applyFill="1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11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4" fontId="17" fillId="6" borderId="12" xfId="0" applyNumberFormat="1" applyFont="1" applyFill="1" applyBorder="1" applyAlignment="1">
      <alignment horizontal="right"/>
    </xf>
    <xf numFmtId="0" fontId="16" fillId="6" borderId="6" xfId="0" applyFont="1" applyFill="1" applyBorder="1"/>
    <xf numFmtId="0" fontId="16" fillId="6" borderId="8" xfId="0" applyFont="1" applyFill="1" applyBorder="1"/>
    <xf numFmtId="0" fontId="16" fillId="6" borderId="9" xfId="0" applyFont="1" applyFill="1" applyBorder="1"/>
    <xf numFmtId="4" fontId="22" fillId="6" borderId="3" xfId="0" applyNumberFormat="1" applyFont="1" applyFill="1" applyBorder="1" applyAlignment="1">
      <alignment horizontal="right"/>
    </xf>
    <xf numFmtId="4" fontId="17" fillId="7" borderId="3" xfId="0" applyNumberFormat="1" applyFont="1" applyFill="1" applyBorder="1" applyAlignment="1">
      <alignment horizontal="right"/>
    </xf>
    <xf numFmtId="4" fontId="0" fillId="10" borderId="3" xfId="0" applyNumberFormat="1" applyFill="1" applyBorder="1" applyAlignment="1">
      <alignment horizontal="right"/>
    </xf>
    <xf numFmtId="4" fontId="0" fillId="11" borderId="3" xfId="0" applyNumberFormat="1" applyFill="1" applyBorder="1" applyAlignment="1">
      <alignment horizontal="right"/>
    </xf>
    <xf numFmtId="49" fontId="2" fillId="0" borderId="0" xfId="0" applyNumberFormat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0" borderId="0" xfId="0" applyFont="1"/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right" vertical="center" wrapText="1"/>
    </xf>
    <xf numFmtId="0" fontId="32" fillId="2" borderId="3" xfId="0" applyFont="1" applyFill="1" applyBorder="1" applyAlignment="1">
      <alignment horizontal="left" vertical="center" wrapText="1"/>
    </xf>
    <xf numFmtId="49" fontId="32" fillId="2" borderId="3" xfId="0" applyNumberFormat="1" applyFont="1" applyFill="1" applyBorder="1" applyAlignment="1">
      <alignment horizontal="left" vertical="center" wrapText="1"/>
    </xf>
    <xf numFmtId="4" fontId="30" fillId="2" borderId="4" xfId="0" applyNumberFormat="1" applyFont="1" applyFill="1" applyBorder="1"/>
    <xf numFmtId="4" fontId="30" fillId="0" borderId="4" xfId="0" applyNumberFormat="1" applyFont="1" applyBorder="1" applyAlignment="1">
      <alignment horizontal="right"/>
    </xf>
    <xf numFmtId="0" fontId="19" fillId="2" borderId="3" xfId="0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4" fontId="33" fillId="2" borderId="4" xfId="0" applyNumberFormat="1" applyFont="1" applyFill="1" applyBorder="1" applyAlignment="1">
      <alignment horizontal="right"/>
    </xf>
    <xf numFmtId="4" fontId="33" fillId="0" borderId="3" xfId="0" applyNumberFormat="1" applyFont="1" applyBorder="1" applyAlignment="1">
      <alignment horizontal="right"/>
    </xf>
    <xf numFmtId="0" fontId="19" fillId="0" borderId="3" xfId="0" quotePrefix="1" applyFont="1" applyBorder="1" applyAlignment="1">
      <alignment horizontal="left" vertical="center"/>
    </xf>
    <xf numFmtId="49" fontId="34" fillId="0" borderId="3" xfId="0" quotePrefix="1" applyNumberFormat="1" applyFont="1" applyBorder="1" applyAlignment="1">
      <alignment horizontal="left" vertical="center"/>
    </xf>
    <xf numFmtId="0" fontId="34" fillId="0" borderId="3" xfId="0" quotePrefix="1" applyFont="1" applyBorder="1" applyAlignment="1">
      <alignment horizontal="left" vertical="center"/>
    </xf>
    <xf numFmtId="4" fontId="33" fillId="0" borderId="4" xfId="0" applyNumberFormat="1" applyFont="1" applyBorder="1" applyAlignment="1">
      <alignment horizontal="right"/>
    </xf>
    <xf numFmtId="0" fontId="19" fillId="2" borderId="3" xfId="0" quotePrefix="1" applyFont="1" applyFill="1" applyBorder="1" applyAlignment="1">
      <alignment horizontal="left" vertical="center"/>
    </xf>
    <xf numFmtId="49" fontId="34" fillId="2" borderId="3" xfId="0" quotePrefix="1" applyNumberFormat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 wrapText="1"/>
    </xf>
    <xf numFmtId="0" fontId="19" fillId="0" borderId="3" xfId="0" quotePrefix="1" applyFont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/>
    </xf>
    <xf numFmtId="49" fontId="32" fillId="2" borderId="3" xfId="0" applyNumberFormat="1" applyFont="1" applyFill="1" applyBorder="1" applyAlignment="1">
      <alignment horizontal="left" vertical="center"/>
    </xf>
    <xf numFmtId="0" fontId="32" fillId="2" borderId="3" xfId="0" applyFont="1" applyFill="1" applyBorder="1" applyAlignment="1">
      <alignment vertical="center" wrapText="1"/>
    </xf>
    <xf numFmtId="4" fontId="30" fillId="2" borderId="4" xfId="0" applyNumberFormat="1" applyFont="1" applyFill="1" applyBorder="1" applyAlignment="1">
      <alignment horizontal="right"/>
    </xf>
    <xf numFmtId="0" fontId="19" fillId="2" borderId="3" xfId="0" applyFont="1" applyFill="1" applyBorder="1" applyAlignment="1">
      <alignment vertical="center" wrapText="1"/>
    </xf>
    <xf numFmtId="4" fontId="33" fillId="0" borderId="3" xfId="0" applyNumberFormat="1" applyFont="1" applyBorder="1" applyAlignment="1">
      <alignment horizontal="right" wrapText="1"/>
    </xf>
    <xf numFmtId="0" fontId="19" fillId="0" borderId="3" xfId="0" applyFont="1" applyBorder="1" applyAlignment="1">
      <alignment horizontal="left" vertical="center" wrapText="1"/>
    </xf>
    <xf numFmtId="49" fontId="31" fillId="0" borderId="0" xfId="0" applyNumberFormat="1" applyFont="1"/>
    <xf numFmtId="4" fontId="31" fillId="0" borderId="0" xfId="0" applyNumberFormat="1" applyFont="1"/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vertical="center" wrapText="1"/>
    </xf>
    <xf numFmtId="0" fontId="31" fillId="0" borderId="3" xfId="0" applyFont="1" applyBorder="1"/>
    <xf numFmtId="4" fontId="31" fillId="0" borderId="3" xfId="0" applyNumberFormat="1" applyFont="1" applyBorder="1"/>
    <xf numFmtId="49" fontId="30" fillId="4" borderId="3" xfId="0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33" fillId="2" borderId="3" xfId="0" applyNumberFormat="1" applyFont="1" applyFill="1" applyBorder="1" applyAlignment="1">
      <alignment horizontal="left"/>
    </xf>
    <xf numFmtId="4" fontId="35" fillId="0" borderId="3" xfId="0" applyNumberFormat="1" applyFont="1" applyBorder="1"/>
    <xf numFmtId="49" fontId="31" fillId="0" borderId="3" xfId="0" applyNumberFormat="1" applyFont="1" applyBorder="1"/>
    <xf numFmtId="49" fontId="31" fillId="0" borderId="3" xfId="0" applyNumberFormat="1" applyFont="1" applyBorder="1" applyAlignment="1">
      <alignment wrapText="1"/>
    </xf>
    <xf numFmtId="4" fontId="35" fillId="0" borderId="0" xfId="0" applyNumberFormat="1" applyFont="1"/>
    <xf numFmtId="4" fontId="33" fillId="2" borderId="0" xfId="0" applyNumberFormat="1" applyFont="1" applyFill="1" applyAlignment="1">
      <alignment horizontal="right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6" fillId="6" borderId="6" xfId="0" applyFont="1" applyFill="1" applyBorder="1" applyAlignment="1">
      <alignment horizontal="left" wrapText="1"/>
    </xf>
    <xf numFmtId="0" fontId="16" fillId="6" borderId="5" xfId="0" applyFont="1" applyFill="1" applyBorder="1" applyAlignment="1">
      <alignment horizontal="left" wrapText="1"/>
    </xf>
    <xf numFmtId="0" fontId="16" fillId="6" borderId="1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wrapText="1" shrinkToFit="1"/>
    </xf>
    <xf numFmtId="0" fontId="7" fillId="6" borderId="2" xfId="0" applyFont="1" applyFill="1" applyBorder="1" applyAlignment="1">
      <alignment horizontal="left" wrapText="1" shrinkToFit="1"/>
    </xf>
    <xf numFmtId="0" fontId="7" fillId="6" borderId="4" xfId="0" applyFont="1" applyFill="1" applyBorder="1" applyAlignment="1">
      <alignment horizontal="left" wrapText="1" shrinkToFit="1"/>
    </xf>
    <xf numFmtId="0" fontId="16" fillId="10" borderId="1" xfId="0" applyFont="1" applyFill="1" applyBorder="1" applyAlignment="1">
      <alignment horizontal="left" shrinkToFit="1"/>
    </xf>
    <xf numFmtId="0" fontId="16" fillId="10" borderId="2" xfId="0" applyFont="1" applyFill="1" applyBorder="1" applyAlignment="1">
      <alignment horizontal="left" shrinkToFit="1"/>
    </xf>
    <xf numFmtId="0" fontId="16" fillId="10" borderId="4" xfId="0" applyFont="1" applyFill="1" applyBorder="1" applyAlignment="1">
      <alignment horizontal="left" shrinkToFit="1"/>
    </xf>
    <xf numFmtId="0" fontId="16" fillId="6" borderId="1" xfId="0" applyFont="1" applyFill="1" applyBorder="1" applyAlignment="1">
      <alignment horizontal="left" shrinkToFit="1"/>
    </xf>
    <xf numFmtId="0" fontId="16" fillId="6" borderId="2" xfId="0" applyFont="1" applyFill="1" applyBorder="1" applyAlignment="1">
      <alignment horizontal="left" shrinkToFit="1"/>
    </xf>
    <xf numFmtId="0" fontId="16" fillId="6" borderId="4" xfId="0" applyFont="1" applyFill="1" applyBorder="1" applyAlignment="1">
      <alignment horizontal="left" shrinkToFit="1"/>
    </xf>
    <xf numFmtId="0" fontId="8" fillId="5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4" fontId="17" fillId="6" borderId="7" xfId="0" applyNumberFormat="1" applyFont="1" applyFill="1" applyBorder="1" applyAlignment="1">
      <alignment horizontal="right"/>
    </xf>
    <xf numFmtId="4" fontId="17" fillId="6" borderId="12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left" wrapText="1"/>
    </xf>
    <xf numFmtId="0" fontId="8" fillId="5" borderId="2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shrinkToFit="1"/>
    </xf>
    <xf numFmtId="0" fontId="8" fillId="5" borderId="2" xfId="0" applyFont="1" applyFill="1" applyBorder="1" applyAlignment="1">
      <alignment horizontal="left" shrinkToFit="1"/>
    </xf>
    <xf numFmtId="0" fontId="16" fillId="7" borderId="1" xfId="0" applyFont="1" applyFill="1" applyBorder="1" applyAlignment="1">
      <alignment horizontal="left" shrinkToFit="1"/>
    </xf>
    <xf numFmtId="0" fontId="16" fillId="7" borderId="2" xfId="0" applyFont="1" applyFill="1" applyBorder="1" applyAlignment="1">
      <alignment horizontal="left" shrinkToFit="1"/>
    </xf>
    <xf numFmtId="0" fontId="16" fillId="7" borderId="4" xfId="0" applyFont="1" applyFill="1" applyBorder="1" applyAlignment="1">
      <alignment horizontal="left" shrinkToFit="1"/>
    </xf>
    <xf numFmtId="0" fontId="10" fillId="6" borderId="1" xfId="0" applyFont="1" applyFill="1" applyBorder="1" applyAlignment="1">
      <alignment horizontal="left" shrinkToFit="1"/>
    </xf>
    <xf numFmtId="0" fontId="10" fillId="6" borderId="2" xfId="0" applyFont="1" applyFill="1" applyBorder="1" applyAlignment="1">
      <alignment horizontal="left" shrinkToFit="1"/>
    </xf>
    <xf numFmtId="0" fontId="10" fillId="6" borderId="4" xfId="0" applyFont="1" applyFill="1" applyBorder="1" applyAlignment="1">
      <alignment horizontal="left" shrinkToFit="1"/>
    </xf>
    <xf numFmtId="0" fontId="10" fillId="6" borderId="1" xfId="0" applyFont="1" applyFill="1" applyBorder="1" applyAlignment="1">
      <alignment horizontal="left" wrapText="1" shrinkToFit="1"/>
    </xf>
    <xf numFmtId="0" fontId="10" fillId="6" borderId="2" xfId="0" applyFont="1" applyFill="1" applyBorder="1" applyAlignment="1">
      <alignment horizontal="left" wrapText="1" shrinkToFit="1"/>
    </xf>
    <xf numFmtId="0" fontId="10" fillId="6" borderId="4" xfId="0" applyFont="1" applyFill="1" applyBorder="1" applyAlignment="1">
      <alignment horizontal="left" wrapText="1" shrinkToFit="1"/>
    </xf>
    <xf numFmtId="0" fontId="16" fillId="6" borderId="8" xfId="0" applyFont="1" applyFill="1" applyBorder="1" applyAlignment="1">
      <alignment horizontal="left" vertical="center" wrapText="1" shrinkToFit="1"/>
    </xf>
    <xf numFmtId="0" fontId="16" fillId="6" borderId="9" xfId="0" applyFont="1" applyFill="1" applyBorder="1" applyAlignment="1">
      <alignment horizontal="left" vertical="center" wrapText="1" shrinkToFit="1"/>
    </xf>
    <xf numFmtId="0" fontId="16" fillId="6" borderId="10" xfId="0" applyFont="1" applyFill="1" applyBorder="1" applyAlignment="1">
      <alignment horizontal="left" vertical="center" wrapText="1" shrinkToFit="1"/>
    </xf>
    <xf numFmtId="0" fontId="16" fillId="6" borderId="13" xfId="0" applyFont="1" applyFill="1" applyBorder="1" applyAlignment="1">
      <alignment horizontal="left" vertical="center" wrapText="1" shrinkToFit="1"/>
    </xf>
    <xf numFmtId="0" fontId="16" fillId="6" borderId="0" xfId="0" applyFont="1" applyFill="1" applyAlignment="1">
      <alignment horizontal="left" vertical="center" wrapText="1" shrinkToFit="1"/>
    </xf>
    <xf numFmtId="0" fontId="16" fillId="6" borderId="15" xfId="0" applyFont="1" applyFill="1" applyBorder="1" applyAlignment="1">
      <alignment horizontal="left" vertical="center" wrapText="1" shrinkToFit="1"/>
    </xf>
    <xf numFmtId="0" fontId="16" fillId="6" borderId="6" xfId="0" applyFont="1" applyFill="1" applyBorder="1" applyAlignment="1">
      <alignment horizontal="left" vertical="center" wrapText="1" shrinkToFit="1"/>
    </xf>
    <xf numFmtId="0" fontId="16" fillId="6" borderId="5" xfId="0" applyFont="1" applyFill="1" applyBorder="1" applyAlignment="1">
      <alignment horizontal="left" vertical="center" wrapText="1" shrinkToFit="1"/>
    </xf>
    <xf numFmtId="0" fontId="16" fillId="6" borderId="11" xfId="0" applyFont="1" applyFill="1" applyBorder="1" applyAlignment="1">
      <alignment horizontal="left" vertical="center" wrapText="1" shrinkToFit="1"/>
    </xf>
    <xf numFmtId="0" fontId="16" fillId="6" borderId="3" xfId="0" applyFont="1" applyFill="1" applyBorder="1" applyAlignment="1">
      <alignment horizontal="left" shrinkToFit="1"/>
    </xf>
    <xf numFmtId="0" fontId="16" fillId="6" borderId="1" xfId="0" applyFont="1" applyFill="1" applyBorder="1" applyAlignment="1">
      <alignment horizontal="left" wrapText="1"/>
    </xf>
    <xf numFmtId="0" fontId="16" fillId="6" borderId="2" xfId="0" applyFont="1" applyFill="1" applyBorder="1" applyAlignment="1">
      <alignment horizontal="left" wrapText="1"/>
    </xf>
    <xf numFmtId="0" fontId="16" fillId="6" borderId="4" xfId="0" applyFont="1" applyFill="1" applyBorder="1" applyAlignment="1">
      <alignment horizontal="left" wrapText="1"/>
    </xf>
    <xf numFmtId="0" fontId="16" fillId="7" borderId="1" xfId="0" applyFont="1" applyFill="1" applyBorder="1" applyAlignment="1">
      <alignment horizontal="left"/>
    </xf>
    <xf numFmtId="0" fontId="16" fillId="7" borderId="2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6" fillId="6" borderId="8" xfId="0" applyFont="1" applyFill="1" applyBorder="1" applyAlignment="1">
      <alignment horizontal="left"/>
    </xf>
    <xf numFmtId="0" fontId="16" fillId="6" borderId="9" xfId="0" applyFont="1" applyFill="1" applyBorder="1" applyAlignment="1">
      <alignment horizontal="left"/>
    </xf>
    <xf numFmtId="0" fontId="16" fillId="6" borderId="10" xfId="0" applyFont="1" applyFill="1" applyBorder="1" applyAlignment="1">
      <alignment horizontal="left"/>
    </xf>
    <xf numFmtId="0" fontId="16" fillId="6" borderId="6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4" fontId="17" fillId="6" borderId="3" xfId="0" applyNumberFormat="1" applyFont="1" applyFill="1" applyBorder="1" applyAlignment="1">
      <alignment horizontal="right"/>
    </xf>
    <xf numFmtId="0" fontId="17" fillId="6" borderId="3" xfId="0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4" fontId="16" fillId="9" borderId="3" xfId="0" applyNumberFormat="1" applyFont="1" applyFill="1" applyBorder="1" applyAlignment="1">
      <alignment horizontal="right"/>
    </xf>
    <xf numFmtId="0" fontId="16" fillId="9" borderId="3" xfId="0" applyFont="1" applyFill="1" applyBorder="1" applyAlignment="1">
      <alignment horizontal="right"/>
    </xf>
    <xf numFmtId="0" fontId="16" fillId="7" borderId="3" xfId="0" applyFont="1" applyFill="1" applyBorder="1" applyAlignment="1">
      <alignment horizontal="left"/>
    </xf>
    <xf numFmtId="0" fontId="16" fillId="6" borderId="3" xfId="0" applyFont="1" applyFill="1" applyBorder="1" applyAlignment="1">
      <alignment horizontal="left"/>
    </xf>
    <xf numFmtId="0" fontId="16" fillId="6" borderId="11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/>
    </xf>
    <xf numFmtId="0" fontId="10" fillId="9" borderId="5" xfId="0" applyFont="1" applyFill="1" applyBorder="1" applyAlignment="1">
      <alignment horizontal="left"/>
    </xf>
    <xf numFmtId="0" fontId="10" fillId="9" borderId="11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left" wrapText="1" shrinkToFit="1"/>
    </xf>
    <xf numFmtId="0" fontId="16" fillId="6" borderId="2" xfId="0" applyFont="1" applyFill="1" applyBorder="1" applyAlignment="1">
      <alignment horizontal="left" wrapText="1" shrinkToFit="1"/>
    </xf>
    <xf numFmtId="0" fontId="16" fillId="6" borderId="4" xfId="0" applyFont="1" applyFill="1" applyBorder="1" applyAlignment="1">
      <alignment horizontal="left" wrapText="1" shrinkToFit="1"/>
    </xf>
    <xf numFmtId="0" fontId="16" fillId="6" borderId="3" xfId="0" applyFont="1" applyFill="1" applyBorder="1" applyAlignment="1">
      <alignment horizontal="left" wrapText="1" shrinkToFit="1"/>
    </xf>
    <xf numFmtId="0" fontId="10" fillId="7" borderId="1" xfId="0" applyFont="1" applyFill="1" applyBorder="1" applyAlignment="1">
      <alignment horizontal="left" shrinkToFit="1"/>
    </xf>
    <xf numFmtId="0" fontId="10" fillId="7" borderId="2" xfId="0" applyFont="1" applyFill="1" applyBorder="1" applyAlignment="1">
      <alignment horizontal="left" shrinkToFit="1"/>
    </xf>
    <xf numFmtId="0" fontId="10" fillId="7" borderId="4" xfId="0" applyFont="1" applyFill="1" applyBorder="1" applyAlignment="1">
      <alignment horizontal="left" shrinkToFi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6" fillId="9" borderId="1" xfId="0" applyFont="1" applyFill="1" applyBorder="1" applyAlignment="1">
      <alignment horizontal="left" shrinkToFit="1"/>
    </xf>
    <xf numFmtId="0" fontId="16" fillId="9" borderId="2" xfId="0" applyFont="1" applyFill="1" applyBorder="1" applyAlignment="1">
      <alignment horizontal="left" shrinkToFit="1"/>
    </xf>
    <xf numFmtId="0" fontId="16" fillId="9" borderId="4" xfId="0" applyFont="1" applyFill="1" applyBorder="1" applyAlignment="1">
      <alignment horizontal="left" shrinkToFit="1"/>
    </xf>
    <xf numFmtId="0" fontId="16" fillId="6" borderId="1" xfId="0" applyFont="1" applyFill="1" applyBorder="1" applyAlignment="1">
      <alignment horizontal="left"/>
    </xf>
    <xf numFmtId="0" fontId="16" fillId="6" borderId="2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shrinkToFit="1"/>
    </xf>
    <xf numFmtId="0" fontId="16" fillId="9" borderId="1" xfId="0" applyFont="1" applyFill="1" applyBorder="1" applyAlignment="1">
      <alignment horizontal="left"/>
    </xf>
    <xf numFmtId="0" fontId="16" fillId="9" borderId="2" xfId="0" applyFont="1" applyFill="1" applyBorder="1" applyAlignment="1">
      <alignment horizontal="left"/>
    </xf>
    <xf numFmtId="0" fontId="16" fillId="9" borderId="4" xfId="0" applyFont="1" applyFill="1" applyBorder="1" applyAlignment="1">
      <alignment horizontal="left"/>
    </xf>
    <xf numFmtId="4" fontId="16" fillId="6" borderId="7" xfId="0" applyNumberFormat="1" applyFont="1" applyFill="1" applyBorder="1" applyAlignment="1">
      <alignment horizontal="right"/>
    </xf>
    <xf numFmtId="0" fontId="16" fillId="6" borderId="12" xfId="0" applyFont="1" applyFill="1" applyBorder="1" applyAlignment="1">
      <alignment horizontal="right"/>
    </xf>
    <xf numFmtId="0" fontId="16" fillId="9" borderId="6" xfId="0" applyFont="1" applyFill="1" applyBorder="1" applyAlignment="1">
      <alignment horizontal="left"/>
    </xf>
    <xf numFmtId="0" fontId="16" fillId="9" borderId="5" xfId="0" applyFont="1" applyFill="1" applyBorder="1" applyAlignment="1">
      <alignment horizontal="left"/>
    </xf>
    <xf numFmtId="0" fontId="16" fillId="9" borderId="11" xfId="0" applyFont="1" applyFill="1" applyBorder="1" applyAlignment="1">
      <alignment horizontal="left"/>
    </xf>
    <xf numFmtId="0" fontId="16" fillId="6" borderId="8" xfId="0" applyFont="1" applyFill="1" applyBorder="1" applyAlignment="1">
      <alignment horizontal="left" shrinkToFit="1"/>
    </xf>
    <xf numFmtId="0" fontId="16" fillId="6" borderId="9" xfId="0" applyFont="1" applyFill="1" applyBorder="1" applyAlignment="1">
      <alignment horizontal="left" shrinkToFit="1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0" fontId="7" fillId="3" borderId="1" xfId="0" applyFont="1" applyFill="1" applyBorder="1" applyAlignment="1">
      <alignment horizontal="left" shrinkToFit="1"/>
    </xf>
    <xf numFmtId="0" fontId="7" fillId="3" borderId="2" xfId="0" applyFont="1" applyFill="1" applyBorder="1" applyAlignment="1">
      <alignment horizontal="left" shrinkToFit="1"/>
    </xf>
    <xf numFmtId="0" fontId="16" fillId="6" borderId="8" xfId="0" applyFont="1" applyFill="1" applyBorder="1" applyAlignment="1">
      <alignment horizontal="left" wrapText="1"/>
    </xf>
    <xf numFmtId="0" fontId="16" fillId="6" borderId="9" xfId="0" applyFont="1" applyFill="1" applyBorder="1" applyAlignment="1">
      <alignment horizontal="left" wrapText="1"/>
    </xf>
    <xf numFmtId="0" fontId="16" fillId="6" borderId="10" xfId="0" applyFont="1" applyFill="1" applyBorder="1" applyAlignment="1">
      <alignment horizontal="left" wrapText="1"/>
    </xf>
    <xf numFmtId="4" fontId="16" fillId="9" borderId="7" xfId="0" applyNumberFormat="1" applyFont="1" applyFill="1" applyBorder="1" applyAlignment="1">
      <alignment horizontal="right"/>
    </xf>
    <xf numFmtId="0" fontId="16" fillId="9" borderId="12" xfId="0" applyFont="1" applyFill="1" applyBorder="1" applyAlignment="1">
      <alignment horizontal="right"/>
    </xf>
    <xf numFmtId="4" fontId="16" fillId="6" borderId="3" xfId="0" applyNumberFormat="1" applyFont="1" applyFill="1" applyBorder="1"/>
    <xf numFmtId="0" fontId="16" fillId="6" borderId="3" xfId="0" applyFont="1" applyFill="1" applyBorder="1"/>
    <xf numFmtId="0" fontId="16" fillId="6" borderId="10" xfId="0" applyFont="1" applyFill="1" applyBorder="1" applyAlignment="1">
      <alignment horizontal="left" shrinkToFit="1"/>
    </xf>
    <xf numFmtId="0" fontId="8" fillId="5" borderId="4" xfId="0" applyFont="1" applyFill="1" applyBorder="1" applyAlignment="1">
      <alignment horizontal="left" shrinkToFit="1"/>
    </xf>
    <xf numFmtId="4" fontId="16" fillId="6" borderId="3" xfId="0" applyNumberFormat="1" applyFont="1" applyFill="1" applyBorder="1" applyAlignment="1">
      <alignment horizontal="right"/>
    </xf>
    <xf numFmtId="0" fontId="16" fillId="6" borderId="3" xfId="0" applyFont="1" applyFill="1" applyBorder="1" applyAlignment="1">
      <alignment horizontal="right"/>
    </xf>
    <xf numFmtId="4" fontId="16" fillId="7" borderId="3" xfId="0" applyNumberFormat="1" applyFont="1" applyFill="1" applyBorder="1" applyAlignment="1">
      <alignment horizontal="right" shrinkToFit="1"/>
    </xf>
    <xf numFmtId="0" fontId="16" fillId="7" borderId="3" xfId="0" applyFont="1" applyFill="1" applyBorder="1" applyAlignment="1">
      <alignment horizontal="right" shrinkToFit="1"/>
    </xf>
    <xf numFmtId="0" fontId="16" fillId="7" borderId="8" xfId="0" applyFont="1" applyFill="1" applyBorder="1" applyAlignment="1">
      <alignment horizontal="left" shrinkToFit="1"/>
    </xf>
    <xf numFmtId="0" fontId="16" fillId="7" borderId="9" xfId="0" applyFont="1" applyFill="1" applyBorder="1" applyAlignment="1">
      <alignment horizontal="left" shrinkToFit="1"/>
    </xf>
    <xf numFmtId="4" fontId="17" fillId="6" borderId="14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16" workbookViewId="0">
      <selection activeCell="A16" sqref="A16:E16"/>
    </sheetView>
  </sheetViews>
  <sheetFormatPr defaultRowHeight="15" x14ac:dyDescent="0.25"/>
  <cols>
    <col min="5" max="5" width="22.140625" customWidth="1"/>
    <col min="6" max="10" width="25.28515625" customWidth="1"/>
  </cols>
  <sheetData>
    <row r="1" spans="1:11" x14ac:dyDescent="0.25">
      <c r="I1" s="31" t="s">
        <v>47</v>
      </c>
    </row>
    <row r="3" spans="1:11" ht="30.75" customHeight="1" x14ac:dyDescent="0.25">
      <c r="A3" s="265" t="s">
        <v>297</v>
      </c>
      <c r="B3" s="265"/>
      <c r="C3" s="265"/>
      <c r="D3" s="265"/>
      <c r="E3" s="265"/>
      <c r="F3" s="265"/>
      <c r="G3" s="265"/>
      <c r="H3" s="265"/>
      <c r="I3" s="265"/>
      <c r="J3" s="265"/>
    </row>
    <row r="5" spans="1:11" ht="42" customHeight="1" x14ac:dyDescent="0.25">
      <c r="A5" s="257" t="s">
        <v>107</v>
      </c>
      <c r="B5" s="257"/>
      <c r="C5" s="257"/>
      <c r="D5" s="257"/>
      <c r="E5" s="257"/>
      <c r="F5" s="257"/>
      <c r="G5" s="257"/>
      <c r="H5" s="257"/>
      <c r="I5" s="257"/>
      <c r="J5" s="257"/>
    </row>
    <row r="6" spans="1:11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15.75" x14ac:dyDescent="0.25">
      <c r="A7" s="257" t="s">
        <v>34</v>
      </c>
      <c r="B7" s="257"/>
      <c r="C7" s="257"/>
      <c r="D7" s="257"/>
      <c r="E7" s="257"/>
      <c r="F7" s="257"/>
      <c r="G7" s="257"/>
      <c r="H7" s="257"/>
      <c r="I7" s="266"/>
      <c r="J7" s="266"/>
    </row>
    <row r="8" spans="1:11" ht="15.75" x14ac:dyDescent="0.25">
      <c r="A8" s="30"/>
      <c r="B8" s="30"/>
      <c r="C8" s="30"/>
      <c r="D8" s="30"/>
      <c r="E8" s="30"/>
      <c r="F8" s="30"/>
      <c r="G8" s="30"/>
      <c r="H8" s="30"/>
      <c r="I8" s="155"/>
      <c r="J8" s="155"/>
    </row>
    <row r="9" spans="1:11" ht="15.75" x14ac:dyDescent="0.25">
      <c r="A9" s="257" t="s">
        <v>183</v>
      </c>
      <c r="B9" s="257"/>
      <c r="C9" s="257"/>
      <c r="D9" s="257"/>
      <c r="E9" s="257"/>
      <c r="F9" s="257"/>
      <c r="G9" s="257"/>
      <c r="H9" s="257"/>
      <c r="I9" s="257"/>
      <c r="J9" s="257"/>
    </row>
    <row r="10" spans="1:11" ht="18" x14ac:dyDescent="0.25">
      <c r="A10" s="5"/>
      <c r="B10" s="5"/>
      <c r="C10" s="5"/>
      <c r="D10" s="5"/>
      <c r="E10" s="5"/>
      <c r="F10" s="5"/>
      <c r="G10" s="5"/>
      <c r="H10" s="5"/>
      <c r="I10" s="6"/>
      <c r="J10" s="6"/>
    </row>
    <row r="11" spans="1:11" ht="18" customHeight="1" x14ac:dyDescent="0.25">
      <c r="A11" s="257" t="s">
        <v>43</v>
      </c>
      <c r="B11" s="258"/>
      <c r="C11" s="258"/>
      <c r="D11" s="258"/>
      <c r="E11" s="258"/>
      <c r="F11" s="258"/>
      <c r="G11" s="258"/>
      <c r="H11" s="258"/>
      <c r="I11" s="258"/>
      <c r="J11" s="258"/>
    </row>
    <row r="12" spans="1:11" ht="18" x14ac:dyDescent="0.25">
      <c r="A12" s="1"/>
      <c r="B12" s="2"/>
      <c r="C12" s="2"/>
      <c r="D12" s="2"/>
      <c r="E12" s="7"/>
      <c r="F12" s="8"/>
      <c r="G12" s="8"/>
      <c r="H12" s="8"/>
      <c r="I12" s="8"/>
      <c r="J12" s="25" t="s">
        <v>110</v>
      </c>
    </row>
    <row r="13" spans="1:11" ht="25.5" x14ac:dyDescent="0.25">
      <c r="A13" s="21"/>
      <c r="B13" s="22"/>
      <c r="C13" s="22"/>
      <c r="D13" s="23"/>
      <c r="E13" s="24"/>
      <c r="F13" s="4" t="s">
        <v>108</v>
      </c>
      <c r="G13" s="4" t="s">
        <v>109</v>
      </c>
      <c r="H13" s="4" t="s">
        <v>111</v>
      </c>
      <c r="I13" s="4" t="s">
        <v>10</v>
      </c>
      <c r="J13" s="4" t="s">
        <v>112</v>
      </c>
    </row>
    <row r="14" spans="1:11" x14ac:dyDescent="0.25">
      <c r="A14" s="261" t="s">
        <v>0</v>
      </c>
      <c r="B14" s="254"/>
      <c r="C14" s="254"/>
      <c r="D14" s="254"/>
      <c r="E14" s="267"/>
      <c r="F14" s="32">
        <f t="shared" ref="F14:J14" si="0">F15+F16</f>
        <v>1628992.71</v>
      </c>
      <c r="G14" s="32">
        <f t="shared" ref="G14" si="1">G15+G16</f>
        <v>1572634.55</v>
      </c>
      <c r="H14" s="32">
        <f t="shared" si="0"/>
        <v>1705661</v>
      </c>
      <c r="I14" s="32">
        <f t="shared" si="0"/>
        <v>1710080</v>
      </c>
      <c r="J14" s="32">
        <f t="shared" si="0"/>
        <v>1805100</v>
      </c>
      <c r="K14" s="33"/>
    </row>
    <row r="15" spans="1:11" x14ac:dyDescent="0.25">
      <c r="A15" s="268" t="s">
        <v>1</v>
      </c>
      <c r="B15" s="256"/>
      <c r="C15" s="256"/>
      <c r="D15" s="256"/>
      <c r="E15" s="260"/>
      <c r="F15" s="34">
        <v>1628816.47</v>
      </c>
      <c r="G15" s="34">
        <f>1571904.57</f>
        <v>1571904.57</v>
      </c>
      <c r="H15" s="34">
        <v>1705161</v>
      </c>
      <c r="I15" s="34">
        <v>1710080</v>
      </c>
      <c r="J15" s="34">
        <v>1805100</v>
      </c>
      <c r="K15" s="33"/>
    </row>
    <row r="16" spans="1:11" x14ac:dyDescent="0.25">
      <c r="A16" s="259" t="s">
        <v>2</v>
      </c>
      <c r="B16" s="260"/>
      <c r="C16" s="260"/>
      <c r="D16" s="260"/>
      <c r="E16" s="260"/>
      <c r="F16" s="34">
        <v>176.24</v>
      </c>
      <c r="G16" s="34">
        <f>729.98</f>
        <v>729.98</v>
      </c>
      <c r="H16" s="34">
        <v>500</v>
      </c>
      <c r="I16" s="34"/>
      <c r="J16" s="34"/>
      <c r="K16" s="33"/>
    </row>
    <row r="17" spans="1:11" x14ac:dyDescent="0.25">
      <c r="A17" s="26" t="s">
        <v>3</v>
      </c>
      <c r="B17" s="27"/>
      <c r="C17" s="27"/>
      <c r="D17" s="27"/>
      <c r="E17" s="27"/>
      <c r="F17" s="32">
        <f t="shared" ref="F17:J17" si="2">F18+F19</f>
        <v>1418761.3900000001</v>
      </c>
      <c r="G17" s="32">
        <f t="shared" ref="G17" si="3">G18+G19</f>
        <v>1572634.5499999998</v>
      </c>
      <c r="H17" s="32">
        <f t="shared" si="2"/>
        <v>2025661</v>
      </c>
      <c r="I17" s="32">
        <f t="shared" si="2"/>
        <v>1710080</v>
      </c>
      <c r="J17" s="32">
        <f t="shared" si="2"/>
        <v>1805100</v>
      </c>
      <c r="K17" s="33"/>
    </row>
    <row r="18" spans="1:11" x14ac:dyDescent="0.25">
      <c r="A18" s="255" t="s">
        <v>4</v>
      </c>
      <c r="B18" s="256"/>
      <c r="C18" s="256"/>
      <c r="D18" s="256"/>
      <c r="E18" s="256"/>
      <c r="F18" s="34">
        <v>835640</v>
      </c>
      <c r="G18" s="34">
        <f>1016791.44</f>
        <v>1016791.44</v>
      </c>
      <c r="H18" s="34">
        <v>1261061</v>
      </c>
      <c r="I18" s="34">
        <v>1108280</v>
      </c>
      <c r="J18" s="114">
        <v>884100</v>
      </c>
      <c r="K18" s="33"/>
    </row>
    <row r="19" spans="1:11" x14ac:dyDescent="0.25">
      <c r="A19" s="259" t="s">
        <v>5</v>
      </c>
      <c r="B19" s="260"/>
      <c r="C19" s="260"/>
      <c r="D19" s="260"/>
      <c r="E19" s="260"/>
      <c r="F19" s="34">
        <v>583121.39</v>
      </c>
      <c r="G19" s="34">
        <v>555843.11</v>
      </c>
      <c r="H19" s="34">
        <v>764600</v>
      </c>
      <c r="I19" s="34">
        <v>601800</v>
      </c>
      <c r="J19" s="114">
        <v>921000</v>
      </c>
      <c r="K19" s="33"/>
    </row>
    <row r="20" spans="1:11" x14ac:dyDescent="0.25">
      <c r="A20" s="253" t="s">
        <v>6</v>
      </c>
      <c r="B20" s="254"/>
      <c r="C20" s="254"/>
      <c r="D20" s="254"/>
      <c r="E20" s="254"/>
      <c r="F20" s="32">
        <f>F14-F17</f>
        <v>210231.31999999983</v>
      </c>
      <c r="G20" s="32">
        <f t="shared" ref="G20" si="4">G14-G17</f>
        <v>0</v>
      </c>
      <c r="H20" s="32">
        <f t="shared" ref="H20:J20" si="5">H14-H17</f>
        <v>-320000</v>
      </c>
      <c r="I20" s="32">
        <f t="shared" si="5"/>
        <v>0</v>
      </c>
      <c r="J20" s="32">
        <f t="shared" si="5"/>
        <v>0</v>
      </c>
      <c r="K20" s="33"/>
    </row>
    <row r="21" spans="1:11" ht="18" x14ac:dyDescent="0.25">
      <c r="A21" s="5"/>
      <c r="B21" s="9"/>
      <c r="C21" s="9"/>
      <c r="D21" s="9"/>
      <c r="E21" s="9"/>
      <c r="F21" s="9"/>
      <c r="G21" s="9"/>
      <c r="H21" s="113"/>
      <c r="I21" s="3"/>
      <c r="J21" s="3"/>
    </row>
    <row r="22" spans="1:11" ht="18" customHeight="1" x14ac:dyDescent="0.25">
      <c r="A22" s="257" t="s">
        <v>42</v>
      </c>
      <c r="B22" s="258"/>
      <c r="C22" s="258"/>
      <c r="D22" s="258"/>
      <c r="E22" s="258"/>
      <c r="F22" s="258"/>
      <c r="G22" s="258"/>
      <c r="H22" s="258"/>
      <c r="I22" s="258"/>
      <c r="J22" s="258"/>
    </row>
    <row r="23" spans="1:11" ht="18" x14ac:dyDescent="0.25">
      <c r="A23" s="5"/>
      <c r="B23" s="9"/>
      <c r="C23" s="9"/>
      <c r="D23" s="9"/>
      <c r="E23" s="9"/>
      <c r="F23" s="9"/>
      <c r="G23" s="9"/>
      <c r="H23" s="3"/>
      <c r="I23" s="3"/>
      <c r="J23" s="3"/>
    </row>
    <row r="24" spans="1:11" ht="25.5" x14ac:dyDescent="0.25">
      <c r="A24" s="21"/>
      <c r="B24" s="22"/>
      <c r="C24" s="22"/>
      <c r="D24" s="23"/>
      <c r="E24" s="24"/>
      <c r="F24" s="4" t="s">
        <v>108</v>
      </c>
      <c r="G24" s="4" t="s">
        <v>109</v>
      </c>
      <c r="H24" s="4" t="s">
        <v>111</v>
      </c>
      <c r="I24" s="4" t="s">
        <v>10</v>
      </c>
      <c r="J24" s="4" t="s">
        <v>112</v>
      </c>
    </row>
    <row r="25" spans="1:11" x14ac:dyDescent="0.25">
      <c r="A25" s="259" t="s">
        <v>115</v>
      </c>
      <c r="B25" s="260"/>
      <c r="C25" s="260"/>
      <c r="D25" s="260"/>
      <c r="E25" s="260"/>
      <c r="F25" s="20"/>
      <c r="G25" s="20"/>
      <c r="H25" s="20"/>
      <c r="I25" s="20"/>
      <c r="J25" s="133"/>
    </row>
    <row r="26" spans="1:11" x14ac:dyDescent="0.25">
      <c r="A26" s="259" t="s">
        <v>116</v>
      </c>
      <c r="B26" s="260"/>
      <c r="C26" s="260"/>
      <c r="D26" s="260"/>
      <c r="E26" s="260"/>
      <c r="F26" s="20"/>
      <c r="G26" s="20"/>
      <c r="H26" s="20"/>
      <c r="I26" s="20"/>
      <c r="J26" s="133"/>
    </row>
    <row r="27" spans="1:11" x14ac:dyDescent="0.25">
      <c r="A27" s="253" t="s">
        <v>8</v>
      </c>
      <c r="B27" s="254"/>
      <c r="C27" s="254"/>
      <c r="D27" s="254"/>
      <c r="E27" s="254"/>
      <c r="F27" s="32">
        <f>F25-F26</f>
        <v>0</v>
      </c>
      <c r="G27" s="32">
        <f t="shared" ref="G27:J27" si="6">G25-G26</f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</row>
    <row r="28" spans="1:11" x14ac:dyDescent="0.25">
      <c r="A28" s="253" t="s">
        <v>9</v>
      </c>
      <c r="B28" s="254"/>
      <c r="C28" s="254"/>
      <c r="D28" s="254"/>
      <c r="E28" s="254"/>
      <c r="F28" s="32">
        <f>F20+F27</f>
        <v>210231.31999999983</v>
      </c>
      <c r="G28" s="32">
        <f t="shared" ref="G28:J28" si="7">G20+G27</f>
        <v>0</v>
      </c>
      <c r="H28" s="32">
        <f t="shared" si="7"/>
        <v>-320000</v>
      </c>
      <c r="I28" s="32">
        <f t="shared" si="7"/>
        <v>0</v>
      </c>
      <c r="J28" s="32">
        <f t="shared" si="7"/>
        <v>0</v>
      </c>
    </row>
    <row r="29" spans="1:11" ht="18" x14ac:dyDescent="0.25">
      <c r="A29" s="18"/>
      <c r="B29" s="9"/>
      <c r="C29" s="9"/>
      <c r="D29" s="9"/>
      <c r="E29" s="9"/>
      <c r="F29" s="9"/>
      <c r="G29" s="9"/>
      <c r="H29" s="3"/>
      <c r="I29" s="3"/>
      <c r="J29" s="3"/>
    </row>
    <row r="30" spans="1:11" ht="18" customHeight="1" x14ac:dyDescent="0.25">
      <c r="A30" s="257" t="s">
        <v>113</v>
      </c>
      <c r="B30" s="258"/>
      <c r="C30" s="258"/>
      <c r="D30" s="258"/>
      <c r="E30" s="258"/>
      <c r="F30" s="258"/>
      <c r="G30" s="258"/>
      <c r="H30" s="258"/>
      <c r="I30" s="258"/>
      <c r="J30" s="258"/>
    </row>
    <row r="31" spans="1:11" ht="18" customHeight="1" x14ac:dyDescent="0.25">
      <c r="A31" s="30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1" ht="25.5" x14ac:dyDescent="0.25">
      <c r="A32" s="21"/>
      <c r="B32" s="22"/>
      <c r="C32" s="22"/>
      <c r="D32" s="23"/>
      <c r="E32" s="24"/>
      <c r="F32" s="4" t="s">
        <v>108</v>
      </c>
      <c r="G32" s="4" t="s">
        <v>109</v>
      </c>
      <c r="H32" s="4" t="s">
        <v>111</v>
      </c>
      <c r="I32" s="4" t="s">
        <v>10</v>
      </c>
      <c r="J32" s="4" t="s">
        <v>112</v>
      </c>
    </row>
    <row r="33" spans="1:10" ht="15" customHeight="1" x14ac:dyDescent="0.25">
      <c r="A33" s="248" t="s">
        <v>117</v>
      </c>
      <c r="B33" s="249"/>
      <c r="C33" s="249"/>
      <c r="D33" s="249"/>
      <c r="E33" s="250"/>
      <c r="F33" s="172">
        <v>0</v>
      </c>
      <c r="G33" s="172">
        <v>0</v>
      </c>
      <c r="H33" s="172">
        <v>320000</v>
      </c>
      <c r="I33" s="172">
        <v>0</v>
      </c>
      <c r="J33" s="173">
        <v>0</v>
      </c>
    </row>
    <row r="34" spans="1:10" ht="15" customHeight="1" x14ac:dyDescent="0.25">
      <c r="A34" s="253" t="s">
        <v>118</v>
      </c>
      <c r="B34" s="254"/>
      <c r="C34" s="254"/>
      <c r="D34" s="254"/>
      <c r="E34" s="254"/>
      <c r="F34" s="174">
        <f>F28+F33</f>
        <v>210231.31999999983</v>
      </c>
      <c r="G34" s="174">
        <f t="shared" ref="G34:J34" si="8">G28+G33</f>
        <v>0</v>
      </c>
      <c r="H34" s="174"/>
      <c r="I34" s="174">
        <f t="shared" si="8"/>
        <v>0</v>
      </c>
      <c r="J34" s="175">
        <f t="shared" si="8"/>
        <v>0</v>
      </c>
    </row>
    <row r="35" spans="1:10" ht="45" customHeight="1" x14ac:dyDescent="0.25">
      <c r="A35" s="261" t="s">
        <v>119</v>
      </c>
      <c r="B35" s="262"/>
      <c r="C35" s="262"/>
      <c r="D35" s="262"/>
      <c r="E35" s="263"/>
      <c r="F35" s="174">
        <f>F20+F27+F33-F34</f>
        <v>0</v>
      </c>
      <c r="G35" s="174">
        <f t="shared" ref="G35:J35" si="9">G20+G27+G33-G34</f>
        <v>0</v>
      </c>
      <c r="H35" s="174">
        <f>H20+H27+H33-H34</f>
        <v>0</v>
      </c>
      <c r="I35" s="174">
        <f t="shared" si="9"/>
        <v>0</v>
      </c>
      <c r="J35" s="175">
        <f t="shared" si="9"/>
        <v>0</v>
      </c>
    </row>
    <row r="36" spans="1:10" ht="18" customHeight="1" x14ac:dyDescent="0.25">
      <c r="A36" s="134"/>
      <c r="B36" s="135"/>
      <c r="C36" s="135"/>
      <c r="D36" s="135"/>
      <c r="E36" s="135"/>
      <c r="F36" s="135"/>
      <c r="G36" s="135"/>
      <c r="H36" s="135"/>
      <c r="I36" s="135"/>
      <c r="J36" s="135"/>
    </row>
    <row r="37" spans="1:10" ht="18" customHeight="1" x14ac:dyDescent="0.25">
      <c r="A37" s="264" t="s">
        <v>120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8" x14ac:dyDescent="0.25">
      <c r="A38" s="136"/>
      <c r="B38" s="137"/>
      <c r="C38" s="137"/>
      <c r="D38" s="137"/>
      <c r="E38" s="137"/>
      <c r="F38" s="137"/>
      <c r="G38" s="137"/>
      <c r="H38" s="101"/>
      <c r="I38" s="101"/>
      <c r="J38" s="101"/>
    </row>
    <row r="39" spans="1:10" ht="25.5" x14ac:dyDescent="0.25">
      <c r="A39" s="138"/>
      <c r="B39" s="139"/>
      <c r="C39" s="139"/>
      <c r="D39" s="140"/>
      <c r="E39" s="141"/>
      <c r="F39" s="4" t="s">
        <v>108</v>
      </c>
      <c r="G39" s="4" t="s">
        <v>109</v>
      </c>
      <c r="H39" s="4" t="s">
        <v>111</v>
      </c>
      <c r="I39" s="4" t="s">
        <v>10</v>
      </c>
      <c r="J39" s="4" t="s">
        <v>112</v>
      </c>
    </row>
    <row r="40" spans="1:10" x14ac:dyDescent="0.25">
      <c r="A40" s="248" t="s">
        <v>117</v>
      </c>
      <c r="B40" s="249"/>
      <c r="C40" s="249"/>
      <c r="D40" s="249"/>
      <c r="E40" s="250"/>
      <c r="F40" s="172">
        <v>0</v>
      </c>
      <c r="G40" s="172">
        <f>F43</f>
        <v>0</v>
      </c>
      <c r="H40" s="172">
        <f>G43</f>
        <v>0</v>
      </c>
      <c r="I40" s="172">
        <f>H43</f>
        <v>0</v>
      </c>
      <c r="J40" s="173">
        <f>I43</f>
        <v>0</v>
      </c>
    </row>
    <row r="41" spans="1:10" ht="28.5" customHeight="1" x14ac:dyDescent="0.25">
      <c r="A41" s="248" t="s">
        <v>7</v>
      </c>
      <c r="B41" s="249"/>
      <c r="C41" s="249"/>
      <c r="D41" s="249"/>
      <c r="E41" s="250"/>
      <c r="F41" s="172">
        <v>0</v>
      </c>
      <c r="G41" s="172">
        <v>0</v>
      </c>
      <c r="H41" s="172">
        <v>0</v>
      </c>
      <c r="I41" s="172">
        <v>0</v>
      </c>
      <c r="J41" s="173">
        <v>0</v>
      </c>
    </row>
    <row r="42" spans="1:10" x14ac:dyDescent="0.25">
      <c r="A42" s="248" t="s">
        <v>121</v>
      </c>
      <c r="B42" s="251"/>
      <c r="C42" s="251"/>
      <c r="D42" s="251"/>
      <c r="E42" s="252"/>
      <c r="F42" s="172">
        <v>0</v>
      </c>
      <c r="G42" s="172">
        <v>0</v>
      </c>
      <c r="H42" s="172">
        <v>0</v>
      </c>
      <c r="I42" s="172">
        <v>0</v>
      </c>
      <c r="J42" s="173">
        <v>0</v>
      </c>
    </row>
    <row r="43" spans="1:10" ht="15" customHeight="1" x14ac:dyDescent="0.25">
      <c r="A43" s="253" t="s">
        <v>118</v>
      </c>
      <c r="B43" s="254"/>
      <c r="C43" s="254"/>
      <c r="D43" s="254"/>
      <c r="E43" s="254"/>
      <c r="F43" s="176">
        <f>F40-F41+F42</f>
        <v>0</v>
      </c>
      <c r="G43" s="176">
        <f t="shared" ref="G43:J43" si="10">G40-G41+G42</f>
        <v>0</v>
      </c>
      <c r="H43" s="176">
        <f t="shared" si="10"/>
        <v>0</v>
      </c>
      <c r="I43" s="176">
        <f t="shared" si="10"/>
        <v>0</v>
      </c>
      <c r="J43" s="177">
        <f t="shared" si="10"/>
        <v>0</v>
      </c>
    </row>
    <row r="44" spans="1:10" ht="17.25" customHeight="1" x14ac:dyDescent="0.25"/>
    <row r="45" spans="1:10" x14ac:dyDescent="0.25">
      <c r="A45" s="130"/>
      <c r="B45" s="131"/>
      <c r="C45" s="131"/>
      <c r="D45" s="131"/>
      <c r="E45" s="131"/>
      <c r="F45" s="132"/>
      <c r="G45" s="132"/>
      <c r="H45" s="132"/>
      <c r="I45" s="132"/>
      <c r="J45" s="132"/>
    </row>
  </sheetData>
  <mergeCells count="25">
    <mergeCell ref="A3:J3"/>
    <mergeCell ref="A19:E19"/>
    <mergeCell ref="A20:E20"/>
    <mergeCell ref="A5:J5"/>
    <mergeCell ref="A7:J7"/>
    <mergeCell ref="A14:E14"/>
    <mergeCell ref="A15:E15"/>
    <mergeCell ref="A16:E16"/>
    <mergeCell ref="A9:J9"/>
    <mergeCell ref="A41:E41"/>
    <mergeCell ref="A42:E42"/>
    <mergeCell ref="A43:E43"/>
    <mergeCell ref="A18:E18"/>
    <mergeCell ref="A11:J11"/>
    <mergeCell ref="A22:J22"/>
    <mergeCell ref="A25:E25"/>
    <mergeCell ref="A26:E26"/>
    <mergeCell ref="A35:E35"/>
    <mergeCell ref="A37:J37"/>
    <mergeCell ref="A40:E40"/>
    <mergeCell ref="A27:E27"/>
    <mergeCell ref="A28:E28"/>
    <mergeCell ref="A30:J30"/>
    <mergeCell ref="A33:E33"/>
    <mergeCell ref="A34:E34"/>
  </mergeCells>
  <pageMargins left="0.51181102362204722" right="0.31496062992125984" top="0.35433070866141736" bottom="0.35433070866141736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topLeftCell="A50" zoomScale="106" zoomScaleNormal="106" workbookViewId="0">
      <selection activeCell="A38" sqref="A38:I38"/>
    </sheetView>
  </sheetViews>
  <sheetFormatPr defaultRowHeight="14.25" x14ac:dyDescent="0.2"/>
  <cols>
    <col min="1" max="1" width="7.5703125" style="109" bestFit="1" customWidth="1"/>
    <col min="2" max="2" width="8.5703125" style="109" bestFit="1" customWidth="1"/>
    <col min="3" max="3" width="5.42578125" style="109" bestFit="1" customWidth="1"/>
    <col min="4" max="9" width="25.28515625" style="109" customWidth="1"/>
    <col min="10" max="16384" width="9.140625" style="109"/>
  </cols>
  <sheetData>
    <row r="1" spans="1:9" ht="42" customHeight="1" x14ac:dyDescent="0.2">
      <c r="A1" s="257" t="s">
        <v>107</v>
      </c>
      <c r="B1" s="257"/>
      <c r="C1" s="257"/>
      <c r="D1" s="257"/>
      <c r="E1" s="257"/>
      <c r="F1" s="257"/>
      <c r="G1" s="257"/>
      <c r="H1" s="257"/>
      <c r="I1" s="257"/>
    </row>
    <row r="2" spans="1:9" ht="18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">
      <c r="A3" s="257" t="s">
        <v>34</v>
      </c>
      <c r="B3" s="257"/>
      <c r="C3" s="257"/>
      <c r="D3" s="257"/>
      <c r="E3" s="257"/>
      <c r="F3" s="257"/>
      <c r="G3" s="257"/>
      <c r="H3" s="266"/>
      <c r="I3" s="266"/>
    </row>
    <row r="4" spans="1:9" ht="15.75" x14ac:dyDescent="0.2">
      <c r="A4" s="30"/>
      <c r="B4" s="30"/>
      <c r="C4" s="30"/>
      <c r="D4" s="30"/>
      <c r="E4" s="30"/>
      <c r="F4" s="30"/>
      <c r="G4" s="30"/>
      <c r="H4" s="155"/>
      <c r="I4" s="155"/>
    </row>
    <row r="5" spans="1:9" ht="15.75" x14ac:dyDescent="0.2">
      <c r="A5" s="257" t="s">
        <v>184</v>
      </c>
      <c r="B5" s="257"/>
      <c r="C5" s="257"/>
      <c r="D5" s="257"/>
      <c r="E5" s="257"/>
      <c r="F5" s="257"/>
      <c r="G5" s="257"/>
      <c r="H5" s="257"/>
      <c r="I5" s="257"/>
    </row>
    <row r="6" spans="1:9" ht="15.75" x14ac:dyDescent="0.2">
      <c r="A6" s="30"/>
      <c r="B6" s="30"/>
      <c r="C6" s="30"/>
      <c r="D6" s="30"/>
      <c r="E6" s="30"/>
      <c r="F6" s="30"/>
      <c r="G6" s="30"/>
      <c r="H6" s="30"/>
      <c r="I6" s="30"/>
    </row>
    <row r="7" spans="1:9" ht="15" x14ac:dyDescent="0.2">
      <c r="A7" s="109" t="s">
        <v>185</v>
      </c>
      <c r="B7" s="158"/>
      <c r="C7" s="158"/>
      <c r="D7" s="158"/>
      <c r="E7" s="158"/>
      <c r="F7" s="158"/>
      <c r="G7" s="158"/>
      <c r="H7" s="159"/>
      <c r="I7" s="159"/>
    </row>
    <row r="8" spans="1:9" ht="18" x14ac:dyDescent="0.25">
      <c r="A8"/>
      <c r="B8" s="5"/>
      <c r="C8" s="5"/>
      <c r="D8" s="5"/>
      <c r="E8" s="5"/>
      <c r="F8" s="5"/>
      <c r="G8" s="5"/>
      <c r="H8" s="6"/>
      <c r="I8" s="6"/>
    </row>
    <row r="9" spans="1:9" ht="18" customHeight="1" x14ac:dyDescent="0.2">
      <c r="A9" s="257" t="s">
        <v>12</v>
      </c>
      <c r="B9" s="270"/>
      <c r="C9" s="270"/>
      <c r="D9" s="270"/>
      <c r="E9" s="270"/>
      <c r="F9" s="270"/>
      <c r="G9" s="270"/>
      <c r="H9" s="270"/>
      <c r="I9" s="270"/>
    </row>
    <row r="10" spans="1:9" ht="18" x14ac:dyDescent="0.2">
      <c r="A10" s="5"/>
      <c r="B10" s="5"/>
      <c r="C10" s="5"/>
      <c r="D10" s="5"/>
      <c r="E10" s="5"/>
      <c r="F10" s="5"/>
      <c r="G10" s="5"/>
      <c r="H10" s="6"/>
      <c r="I10" s="6"/>
    </row>
    <row r="11" spans="1:9" ht="17.25" customHeight="1" x14ac:dyDescent="0.2">
      <c r="A11" s="272" t="s">
        <v>187</v>
      </c>
      <c r="B11" s="272"/>
      <c r="C11" s="272"/>
      <c r="D11" s="272"/>
      <c r="E11" s="272"/>
      <c r="F11" s="272"/>
      <c r="G11" s="272"/>
      <c r="H11" s="272"/>
      <c r="I11" s="272"/>
    </row>
    <row r="12" spans="1:9" s="110" customFormat="1" x14ac:dyDescent="0.2">
      <c r="A12" s="271" t="s">
        <v>186</v>
      </c>
      <c r="B12" s="271"/>
      <c r="C12" s="271"/>
      <c r="D12" s="271"/>
      <c r="E12" s="271"/>
      <c r="F12" s="271"/>
      <c r="G12" s="271"/>
      <c r="H12" s="271"/>
      <c r="I12" s="271"/>
    </row>
    <row r="13" spans="1:9" s="110" customFormat="1" x14ac:dyDescent="0.2">
      <c r="A13" s="157"/>
      <c r="B13" s="157"/>
      <c r="C13" s="157"/>
      <c r="D13" s="157"/>
      <c r="E13" s="157"/>
      <c r="F13" s="157"/>
      <c r="G13" s="157"/>
      <c r="H13" s="157"/>
      <c r="I13" s="157"/>
    </row>
    <row r="14" spans="1:9" ht="15" x14ac:dyDescent="0.2">
      <c r="A14" s="257" t="s">
        <v>123</v>
      </c>
      <c r="B14" s="269"/>
      <c r="C14" s="269"/>
      <c r="D14" s="269"/>
      <c r="E14" s="269"/>
      <c r="F14" s="269"/>
      <c r="G14" s="269"/>
      <c r="H14" s="269"/>
      <c r="I14" s="269"/>
    </row>
    <row r="15" spans="1:9" ht="18" x14ac:dyDescent="0.2">
      <c r="A15" s="5"/>
      <c r="B15" s="5"/>
      <c r="C15" s="5"/>
      <c r="D15" s="5"/>
      <c r="E15" s="5"/>
      <c r="F15" s="5"/>
      <c r="G15" s="5"/>
      <c r="H15" s="6"/>
      <c r="I15" s="6"/>
    </row>
    <row r="16" spans="1:9" ht="25.5" x14ac:dyDescent="0.2">
      <c r="A16" s="17" t="s">
        <v>13</v>
      </c>
      <c r="B16" s="16" t="s">
        <v>14</v>
      </c>
      <c r="C16" s="16" t="s">
        <v>15</v>
      </c>
      <c r="D16" s="16" t="s">
        <v>11</v>
      </c>
      <c r="E16" s="16" t="s">
        <v>122</v>
      </c>
      <c r="F16" s="17" t="s">
        <v>114</v>
      </c>
      <c r="G16" s="17" t="s">
        <v>111</v>
      </c>
      <c r="H16" s="17" t="s">
        <v>10</v>
      </c>
      <c r="I16" s="17" t="s">
        <v>112</v>
      </c>
    </row>
    <row r="17" spans="1:9" ht="21.75" customHeight="1" x14ac:dyDescent="0.2">
      <c r="A17" s="160"/>
      <c r="B17" s="161"/>
      <c r="C17" s="161"/>
      <c r="D17" s="162" t="s">
        <v>188</v>
      </c>
      <c r="E17" s="178">
        <v>1628992.71</v>
      </c>
      <c r="F17" s="178">
        <v>1572634.55</v>
      </c>
      <c r="G17" s="178">
        <v>1705661</v>
      </c>
      <c r="H17" s="178">
        <v>1710080</v>
      </c>
      <c r="I17" s="178">
        <v>1805100</v>
      </c>
    </row>
    <row r="18" spans="1:9" ht="15.75" customHeight="1" x14ac:dyDescent="0.2">
      <c r="A18" s="10">
        <v>6</v>
      </c>
      <c r="B18" s="10"/>
      <c r="C18" s="102"/>
      <c r="D18" s="10" t="s">
        <v>16</v>
      </c>
      <c r="E18" s="38">
        <v>1628816.47</v>
      </c>
      <c r="F18" s="106">
        <f>F19+F21+F23+F25+F27</f>
        <v>1571904.5700000003</v>
      </c>
      <c r="G18" s="106">
        <f>G19+G21+G23+G25+G27</f>
        <v>1705161</v>
      </c>
      <c r="H18" s="106">
        <f>H19+H21+H23+H25+H27</f>
        <v>1710080</v>
      </c>
      <c r="I18" s="106">
        <f>I19+I21+I23+I25+I27</f>
        <v>1805100</v>
      </c>
    </row>
    <row r="19" spans="1:9" ht="15" customHeight="1" x14ac:dyDescent="0.2">
      <c r="A19" s="10"/>
      <c r="B19" s="14">
        <v>61</v>
      </c>
      <c r="C19" s="103"/>
      <c r="D19" s="196" t="s">
        <v>17</v>
      </c>
      <c r="E19" s="35">
        <v>167236.68</v>
      </c>
      <c r="F19" s="95">
        <f>153427.57</f>
        <v>153427.57</v>
      </c>
      <c r="G19" s="95">
        <v>277300</v>
      </c>
      <c r="H19" s="95">
        <v>200000</v>
      </c>
      <c r="I19" s="95">
        <v>200000</v>
      </c>
    </row>
    <row r="20" spans="1:9" x14ac:dyDescent="0.2">
      <c r="A20" s="92"/>
      <c r="B20" s="92"/>
      <c r="C20" s="93"/>
      <c r="D20" s="94"/>
      <c r="E20" s="44"/>
      <c r="F20" s="95"/>
      <c r="G20" s="95"/>
      <c r="H20" s="95"/>
      <c r="I20" s="95"/>
    </row>
    <row r="21" spans="1:9" ht="37.5" customHeight="1" x14ac:dyDescent="0.2">
      <c r="A21" s="11"/>
      <c r="B21" s="11">
        <v>63</v>
      </c>
      <c r="C21" s="104"/>
      <c r="D21" s="15" t="s">
        <v>48</v>
      </c>
      <c r="E21" s="35">
        <v>913620.32</v>
      </c>
      <c r="F21" s="95">
        <f>776016.99</f>
        <v>776016.99</v>
      </c>
      <c r="G21" s="95">
        <v>1090366</v>
      </c>
      <c r="H21" s="95">
        <f>H17-H19-H23-H25</f>
        <v>1040180</v>
      </c>
      <c r="I21" s="95">
        <f>I17-I19-I23-I25</f>
        <v>1171500</v>
      </c>
    </row>
    <row r="22" spans="1:9" x14ac:dyDescent="0.2">
      <c r="A22" s="92"/>
      <c r="B22" s="92"/>
      <c r="C22" s="93"/>
      <c r="D22" s="94"/>
      <c r="E22" s="44"/>
      <c r="F22" s="95"/>
      <c r="G22" s="95"/>
      <c r="H22" s="95"/>
      <c r="I22" s="95"/>
    </row>
    <row r="23" spans="1:9" x14ac:dyDescent="0.2">
      <c r="A23" s="11"/>
      <c r="B23" s="11">
        <v>64</v>
      </c>
      <c r="C23" s="104"/>
      <c r="D23" s="12" t="s">
        <v>45</v>
      </c>
      <c r="E23" s="35">
        <v>381161.54</v>
      </c>
      <c r="F23" s="95">
        <f>498336.32</f>
        <v>498336.32</v>
      </c>
      <c r="G23" s="95">
        <v>216030</v>
      </c>
      <c r="H23" s="95">
        <v>301000</v>
      </c>
      <c r="I23" s="95">
        <v>276100</v>
      </c>
    </row>
    <row r="24" spans="1:9" x14ac:dyDescent="0.2">
      <c r="A24" s="92"/>
      <c r="B24" s="92"/>
      <c r="C24" s="93"/>
      <c r="D24" s="94"/>
      <c r="E24" s="44"/>
      <c r="F24" s="95"/>
      <c r="G24" s="95"/>
      <c r="H24" s="95"/>
      <c r="I24" s="95"/>
    </row>
    <row r="25" spans="1:9" ht="51" x14ac:dyDescent="0.2">
      <c r="A25" s="11"/>
      <c r="B25" s="11">
        <v>65</v>
      </c>
      <c r="C25" s="104"/>
      <c r="D25" s="15" t="s">
        <v>50</v>
      </c>
      <c r="E25" s="35">
        <v>166545.75</v>
      </c>
      <c r="F25" s="95">
        <f>143924.61</f>
        <v>143924.60999999999</v>
      </c>
      <c r="G25" s="95">
        <v>121465</v>
      </c>
      <c r="H25" s="95">
        <v>168900</v>
      </c>
      <c r="I25" s="95">
        <v>157500</v>
      </c>
    </row>
    <row r="26" spans="1:9" x14ac:dyDescent="0.2">
      <c r="A26" s="92"/>
      <c r="B26" s="92"/>
      <c r="C26" s="93"/>
      <c r="D26" s="94"/>
      <c r="E26" s="35"/>
      <c r="F26" s="95"/>
      <c r="G26" s="95"/>
      <c r="H26" s="95"/>
      <c r="I26" s="95"/>
    </row>
    <row r="27" spans="1:9" ht="50.25" customHeight="1" x14ac:dyDescent="0.2">
      <c r="A27" s="11"/>
      <c r="B27" s="11">
        <v>66</v>
      </c>
      <c r="C27" s="104"/>
      <c r="D27" s="15" t="s">
        <v>51</v>
      </c>
      <c r="E27" s="35">
        <v>188.47</v>
      </c>
      <c r="F27" s="95">
        <f>199.08</f>
        <v>199.08</v>
      </c>
      <c r="G27" s="95"/>
      <c r="H27" s="95"/>
      <c r="I27" s="95"/>
    </row>
    <row r="28" spans="1:9" ht="14.25" customHeight="1" x14ac:dyDescent="0.2">
      <c r="A28" s="11"/>
      <c r="B28" s="11"/>
      <c r="C28" s="104"/>
      <c r="D28" s="15"/>
      <c r="E28" s="35"/>
      <c r="F28" s="44"/>
      <c r="G28" s="44"/>
      <c r="H28" s="44"/>
      <c r="I28" s="44"/>
    </row>
    <row r="29" spans="1:9" ht="25.5" x14ac:dyDescent="0.2">
      <c r="A29" s="92"/>
      <c r="B29" s="92">
        <v>68</v>
      </c>
      <c r="C29" s="93"/>
      <c r="D29" s="97" t="s">
        <v>208</v>
      </c>
      <c r="E29" s="44">
        <v>63.71</v>
      </c>
      <c r="F29" s="44"/>
      <c r="G29" s="44"/>
      <c r="H29" s="44"/>
      <c r="I29" s="44"/>
    </row>
    <row r="30" spans="1:9" ht="25.5" x14ac:dyDescent="0.2">
      <c r="A30" s="13">
        <v>7</v>
      </c>
      <c r="B30" s="13"/>
      <c r="C30" s="105"/>
      <c r="D30" s="28" t="s">
        <v>19</v>
      </c>
      <c r="E30" s="38">
        <f>E31</f>
        <v>176.24</v>
      </c>
      <c r="F30" s="106">
        <f t="shared" ref="F30" si="0">F31</f>
        <v>729.98</v>
      </c>
      <c r="G30" s="106">
        <f t="shared" ref="G30:I30" si="1">G31</f>
        <v>500</v>
      </c>
      <c r="H30" s="106">
        <f t="shared" si="1"/>
        <v>0</v>
      </c>
      <c r="I30" s="106">
        <f t="shared" si="1"/>
        <v>0</v>
      </c>
    </row>
    <row r="31" spans="1:9" ht="41.25" customHeight="1" x14ac:dyDescent="0.2">
      <c r="A31" s="14"/>
      <c r="B31" s="14">
        <v>72</v>
      </c>
      <c r="C31" s="103"/>
      <c r="D31" s="195" t="s">
        <v>49</v>
      </c>
      <c r="E31" s="35">
        <v>176.24</v>
      </c>
      <c r="F31" s="95">
        <f>729.98</f>
        <v>729.98</v>
      </c>
      <c r="G31" s="95">
        <v>500</v>
      </c>
      <c r="H31" s="95"/>
      <c r="I31" s="111"/>
    </row>
    <row r="32" spans="1:9" x14ac:dyDescent="0.2">
      <c r="C32" s="124"/>
      <c r="H32" s="123"/>
      <c r="I32" s="123"/>
    </row>
    <row r="33" spans="1:9" x14ac:dyDescent="0.2">
      <c r="C33" s="124"/>
      <c r="H33" s="123"/>
      <c r="I33" s="123"/>
    </row>
    <row r="34" spans="1:9" x14ac:dyDescent="0.2">
      <c r="C34" s="124"/>
      <c r="H34" s="123"/>
      <c r="I34" s="123"/>
    </row>
    <row r="35" spans="1:9" x14ac:dyDescent="0.2">
      <c r="C35" s="124"/>
      <c r="H35" s="123"/>
      <c r="I35" s="123"/>
    </row>
    <row r="36" spans="1:9" x14ac:dyDescent="0.2">
      <c r="C36" s="124"/>
      <c r="H36" s="123"/>
      <c r="I36" s="123"/>
    </row>
    <row r="38" spans="1:9" ht="15" x14ac:dyDescent="0.2">
      <c r="A38" s="257" t="s">
        <v>124</v>
      </c>
      <c r="B38" s="269"/>
      <c r="C38" s="269"/>
      <c r="D38" s="269"/>
      <c r="E38" s="269"/>
      <c r="F38" s="269"/>
      <c r="G38" s="269"/>
      <c r="H38" s="269"/>
      <c r="I38" s="269"/>
    </row>
    <row r="39" spans="1:9" ht="18" x14ac:dyDescent="0.2">
      <c r="A39" s="5"/>
      <c r="B39" s="5"/>
      <c r="C39" s="5"/>
      <c r="D39" s="5"/>
      <c r="E39" s="5"/>
      <c r="F39" s="5"/>
      <c r="G39" s="5"/>
      <c r="H39" s="6"/>
      <c r="I39" s="6"/>
    </row>
    <row r="40" spans="1:9" ht="25.5" x14ac:dyDescent="0.2">
      <c r="A40" s="17" t="s">
        <v>13</v>
      </c>
      <c r="B40" s="16" t="s">
        <v>14</v>
      </c>
      <c r="C40" s="16" t="s">
        <v>15</v>
      </c>
      <c r="D40" s="16" t="s">
        <v>21</v>
      </c>
      <c r="E40" s="16" t="s">
        <v>122</v>
      </c>
      <c r="F40" s="17" t="s">
        <v>114</v>
      </c>
      <c r="G40" s="17" t="s">
        <v>111</v>
      </c>
      <c r="H40" s="17" t="s">
        <v>10</v>
      </c>
      <c r="I40" s="17" t="s">
        <v>112</v>
      </c>
    </row>
    <row r="41" spans="1:9" ht="20.25" customHeight="1" x14ac:dyDescent="0.2">
      <c r="A41" s="160"/>
      <c r="B41" s="161"/>
      <c r="C41" s="161"/>
      <c r="D41" s="162" t="s">
        <v>189</v>
      </c>
      <c r="E41" s="178">
        <v>1418761.39</v>
      </c>
      <c r="F41" s="178">
        <v>1572634.55</v>
      </c>
      <c r="G41" s="178">
        <f>G42+G57</f>
        <v>2025661</v>
      </c>
      <c r="H41" s="178">
        <f t="shared" ref="H41:I41" si="2">H42+H57</f>
        <v>1710080</v>
      </c>
      <c r="I41" s="178">
        <f t="shared" si="2"/>
        <v>1805100</v>
      </c>
    </row>
    <row r="42" spans="1:9" ht="15.75" customHeight="1" x14ac:dyDescent="0.2">
      <c r="A42" s="10">
        <v>3</v>
      </c>
      <c r="B42" s="10"/>
      <c r="C42" s="10"/>
      <c r="D42" s="10" t="s">
        <v>22</v>
      </c>
      <c r="E42" s="38">
        <f>E43+E45+E47+E49+E51+E53+E55</f>
        <v>835640.00000000012</v>
      </c>
      <c r="F42" s="106">
        <f>F43+F45+F47+F49+F51+F53+F55</f>
        <v>1016791.4400000001</v>
      </c>
      <c r="G42" s="106">
        <f>G43+G45+G47+G49+G51+G53+G55</f>
        <v>1261061</v>
      </c>
      <c r="H42" s="106">
        <f>H43+H45+H47+H49+H51+H53+H55</f>
        <v>1108280</v>
      </c>
      <c r="I42" s="106">
        <f>I43+I45+I47+I49+I51+I53+I55</f>
        <v>884100</v>
      </c>
    </row>
    <row r="43" spans="1:9" ht="15.75" customHeight="1" x14ac:dyDescent="0.2">
      <c r="A43" s="10"/>
      <c r="B43" s="14">
        <v>31</v>
      </c>
      <c r="C43" s="14"/>
      <c r="D43" s="196" t="s">
        <v>23</v>
      </c>
      <c r="E43" s="35">
        <v>278935.49</v>
      </c>
      <c r="F43" s="95">
        <f>25615.5+84716.97+9834.76+162120.91+9901.12+19802.24</f>
        <v>311991.5</v>
      </c>
      <c r="G43" s="95">
        <v>454573</v>
      </c>
      <c r="H43" s="95">
        <f>31000+117000+12000+211000+86410</f>
        <v>457410</v>
      </c>
      <c r="I43" s="95">
        <f>31000+117000+12000+212000+86410</f>
        <v>458410</v>
      </c>
    </row>
    <row r="44" spans="1:9" x14ac:dyDescent="0.2">
      <c r="A44" s="92"/>
      <c r="B44" s="92"/>
      <c r="C44" s="93"/>
      <c r="D44" s="94"/>
      <c r="E44" s="44"/>
      <c r="F44" s="95"/>
      <c r="G44" s="95"/>
      <c r="H44" s="95"/>
      <c r="I44" s="95"/>
    </row>
    <row r="45" spans="1:9" ht="13.5" customHeight="1" x14ac:dyDescent="0.2">
      <c r="A45" s="92"/>
      <c r="B45" s="96">
        <v>32</v>
      </c>
      <c r="C45" s="96"/>
      <c r="D45" s="197" t="s">
        <v>37</v>
      </c>
      <c r="E45" s="44">
        <v>380576.05</v>
      </c>
      <c r="F45" s="95">
        <f>12608.66+4114.4+9290.59+107096.02+1327.23+19908.42+168956.14+8361.54+663.61+29199.02+9954.21+9821.49+9556.04+1327.23+6636.14+43426.9+132.72+132.72</f>
        <v>442513.07999999996</v>
      </c>
      <c r="G45" s="95">
        <v>501766</v>
      </c>
      <c r="H45" s="95">
        <f>150+56000+6100+1500+14500+9000+14000+23000+1000+10000+1000+36600+3500+141000+250+500+94321+9000+4200+13999</f>
        <v>439620</v>
      </c>
      <c r="I45" s="95">
        <f>150+57000+2000+11000+5000+12000+19000+600+5000+500+20000+2500+45400+250+500+88790+3000+10000</f>
        <v>282690</v>
      </c>
    </row>
    <row r="46" spans="1:9" x14ac:dyDescent="0.2">
      <c r="A46" s="92"/>
      <c r="B46" s="92"/>
      <c r="C46" s="93"/>
      <c r="D46" s="94"/>
      <c r="E46" s="44"/>
      <c r="F46" s="95"/>
      <c r="G46" s="95"/>
      <c r="H46" s="95"/>
      <c r="I46" s="95"/>
    </row>
    <row r="47" spans="1:9" x14ac:dyDescent="0.2">
      <c r="A47" s="92"/>
      <c r="B47" s="92">
        <v>34</v>
      </c>
      <c r="C47" s="94"/>
      <c r="D47" s="94" t="s">
        <v>100</v>
      </c>
      <c r="E47" s="44">
        <v>4073.16</v>
      </c>
      <c r="F47" s="95">
        <f>2521.73+929.06</f>
        <v>3450.79</v>
      </c>
      <c r="G47" s="95">
        <v>3968</v>
      </c>
      <c r="H47" s="95">
        <f>3200+950</f>
        <v>4150</v>
      </c>
      <c r="I47" s="95">
        <f>3200+1000</f>
        <v>4200</v>
      </c>
    </row>
    <row r="48" spans="1:9" x14ac:dyDescent="0.2">
      <c r="A48" s="92"/>
      <c r="B48" s="92"/>
      <c r="C48" s="93"/>
      <c r="D48" s="94"/>
      <c r="E48" s="44"/>
      <c r="F48" s="95"/>
      <c r="G48" s="95"/>
      <c r="H48" s="95"/>
      <c r="I48" s="95"/>
    </row>
    <row r="49" spans="1:9" x14ac:dyDescent="0.2">
      <c r="A49" s="92"/>
      <c r="B49" s="92">
        <v>35</v>
      </c>
      <c r="C49" s="94"/>
      <c r="D49" s="94" t="s">
        <v>52</v>
      </c>
      <c r="E49" s="44">
        <v>15114.36</v>
      </c>
      <c r="F49" s="95">
        <f>19244.81+5308.91+398.17</f>
        <v>24951.89</v>
      </c>
      <c r="G49" s="95">
        <v>25300</v>
      </c>
      <c r="H49" s="95">
        <f>18000+5000+200</f>
        <v>23200</v>
      </c>
      <c r="I49" s="95">
        <f>12000+1000+200</f>
        <v>13200</v>
      </c>
    </row>
    <row r="50" spans="1:9" x14ac:dyDescent="0.2">
      <c r="A50" s="92"/>
      <c r="B50" s="92"/>
      <c r="C50" s="93"/>
      <c r="D50" s="94"/>
      <c r="E50" s="44"/>
      <c r="F50" s="95"/>
      <c r="G50" s="95"/>
      <c r="H50" s="95"/>
      <c r="I50" s="95"/>
    </row>
    <row r="51" spans="1:9" ht="25.5" x14ac:dyDescent="0.2">
      <c r="A51" s="92"/>
      <c r="B51" s="92">
        <v>36</v>
      </c>
      <c r="C51" s="94"/>
      <c r="D51" s="97" t="s">
        <v>53</v>
      </c>
      <c r="E51" s="44">
        <v>42846.42</v>
      </c>
      <c r="F51" s="95">
        <f>26544.56+796.34+3185.34+1592.67+3981.69+14599.51+2654.46</f>
        <v>53354.570000000007</v>
      </c>
      <c r="G51" s="95">
        <v>45592</v>
      </c>
      <c r="H51" s="95">
        <f>3200+2400+6000+14000</f>
        <v>25600</v>
      </c>
      <c r="I51" s="95">
        <f>2000+100+4000+14000</f>
        <v>20100</v>
      </c>
    </row>
    <row r="52" spans="1:9" x14ac:dyDescent="0.2">
      <c r="A52" s="92"/>
      <c r="B52" s="92"/>
      <c r="C52" s="93"/>
      <c r="D52" s="94"/>
      <c r="E52" s="44"/>
      <c r="F52" s="95"/>
      <c r="G52" s="95"/>
      <c r="H52" s="95"/>
      <c r="I52" s="95"/>
    </row>
    <row r="53" spans="1:9" ht="39.75" customHeight="1" x14ac:dyDescent="0.2">
      <c r="A53" s="92"/>
      <c r="B53" s="92">
        <v>37</v>
      </c>
      <c r="C53" s="94"/>
      <c r="D53" s="97" t="s">
        <v>54</v>
      </c>
      <c r="E53" s="44">
        <v>44721.39</v>
      </c>
      <c r="F53" s="95">
        <f>3318.07+11281.44+46851.15+1592.67</f>
        <v>63043.33</v>
      </c>
      <c r="G53" s="95">
        <v>68000</v>
      </c>
      <c r="H53" s="95">
        <f>4000+3500+10000+45000+2000</f>
        <v>64500</v>
      </c>
      <c r="I53" s="95">
        <f>3500+3000+7000+30000+1000</f>
        <v>44500</v>
      </c>
    </row>
    <row r="54" spans="1:9" x14ac:dyDescent="0.2">
      <c r="A54" s="92"/>
      <c r="B54" s="92"/>
      <c r="C54" s="93"/>
      <c r="D54" s="94"/>
      <c r="E54" s="44"/>
      <c r="F54" s="95"/>
      <c r="G54" s="95"/>
      <c r="H54" s="95"/>
      <c r="I54" s="95"/>
    </row>
    <row r="55" spans="1:9" x14ac:dyDescent="0.2">
      <c r="A55" s="92"/>
      <c r="B55" s="92">
        <v>38</v>
      </c>
      <c r="C55" s="94"/>
      <c r="D55" s="94" t="s">
        <v>55</v>
      </c>
      <c r="E55" s="44">
        <v>69373.13</v>
      </c>
      <c r="F55" s="95">
        <f>1990.9+1353.77+13272.28+2919.9+37162.39+3318.07+29199.02+663.61+4379.85+21899.26+1327.23</f>
        <v>117486.28</v>
      </c>
      <c r="G55" s="95">
        <v>161862</v>
      </c>
      <c r="H55" s="95">
        <f>1000+1700+1000+18000+3000+25000+4000+1000+6000+1100+21000+11000</f>
        <v>93800</v>
      </c>
      <c r="I55" s="95">
        <f>1000+1500+17000+2000+20000+2000+1000+6000+500+5000+5000</f>
        <v>61000</v>
      </c>
    </row>
    <row r="56" spans="1:9" x14ac:dyDescent="0.2">
      <c r="A56" s="92"/>
      <c r="B56" s="92"/>
      <c r="C56" s="93"/>
      <c r="D56" s="94"/>
      <c r="E56" s="44"/>
      <c r="F56" s="44"/>
      <c r="G56" s="44"/>
      <c r="H56" s="44"/>
      <c r="I56" s="44"/>
    </row>
    <row r="57" spans="1:9" ht="25.5" x14ac:dyDescent="0.2">
      <c r="A57" s="98">
        <v>4</v>
      </c>
      <c r="B57" s="98"/>
      <c r="C57" s="98"/>
      <c r="D57" s="99" t="s">
        <v>24</v>
      </c>
      <c r="E57" s="106">
        <f>E60+E62+E58</f>
        <v>583121.39</v>
      </c>
      <c r="F57" s="106">
        <f>F60+F62+F58</f>
        <v>555843.11</v>
      </c>
      <c r="G57" s="106">
        <f>G60+G62+G58</f>
        <v>764600</v>
      </c>
      <c r="H57" s="106">
        <f>H60+H62+H58</f>
        <v>601800</v>
      </c>
      <c r="I57" s="106">
        <f>I60+I62+I58</f>
        <v>921000</v>
      </c>
    </row>
    <row r="58" spans="1:9" ht="38.25" x14ac:dyDescent="0.2">
      <c r="A58" s="98"/>
      <c r="B58" s="100">
        <v>41</v>
      </c>
      <c r="C58" s="98"/>
      <c r="D58" s="198" t="s">
        <v>25</v>
      </c>
      <c r="E58" s="44">
        <v>4846.93</v>
      </c>
      <c r="F58" s="44">
        <f>6636.14</f>
        <v>6636.14</v>
      </c>
      <c r="G58" s="106"/>
      <c r="H58" s="106"/>
      <c r="I58" s="106"/>
    </row>
    <row r="59" spans="1:9" x14ac:dyDescent="0.2">
      <c r="A59" s="98"/>
      <c r="B59" s="98"/>
      <c r="C59" s="93"/>
      <c r="D59" s="94"/>
      <c r="E59" s="106"/>
      <c r="F59" s="106"/>
      <c r="G59" s="106"/>
      <c r="H59" s="106"/>
      <c r="I59" s="106"/>
    </row>
    <row r="60" spans="1:9" ht="38.25" customHeight="1" x14ac:dyDescent="0.2">
      <c r="A60" s="14"/>
      <c r="B60" s="14">
        <v>42</v>
      </c>
      <c r="C60" s="14"/>
      <c r="D60" s="195" t="s">
        <v>44</v>
      </c>
      <c r="E60" s="44">
        <v>534024.1</v>
      </c>
      <c r="F60" s="95">
        <f>39816.84+10617.82+42471.3+30526.25+66361.4+42471.3+26544.56+19908.42+132722.81+2389.01+5972.53</f>
        <v>419802.24</v>
      </c>
      <c r="G60" s="95">
        <v>652600</v>
      </c>
      <c r="H60" s="95">
        <f>33800+2000+408200+40000+6000+20000+3400</f>
        <v>513400</v>
      </c>
      <c r="I60" s="111">
        <f>70200+17000+101000+231000+1800</f>
        <v>421000</v>
      </c>
    </row>
    <row r="61" spans="1:9" x14ac:dyDescent="0.2">
      <c r="A61" s="96"/>
      <c r="B61" s="96"/>
      <c r="C61" s="93"/>
      <c r="D61" s="94"/>
      <c r="E61" s="44"/>
      <c r="F61" s="95"/>
      <c r="G61" s="95"/>
      <c r="H61" s="95"/>
      <c r="I61" s="95"/>
    </row>
    <row r="62" spans="1:9" ht="38.25" x14ac:dyDescent="0.2">
      <c r="A62" s="14"/>
      <c r="B62" s="14">
        <v>45</v>
      </c>
      <c r="C62" s="14"/>
      <c r="D62" s="195" t="s">
        <v>56</v>
      </c>
      <c r="E62" s="44">
        <v>44250.36</v>
      </c>
      <c r="F62" s="95">
        <f>39816.84+16590.35+19908.42+39816.84+13272.28</f>
        <v>129404.72999999998</v>
      </c>
      <c r="G62" s="95">
        <v>112000</v>
      </c>
      <c r="H62" s="95">
        <f>66600+21800</f>
        <v>88400</v>
      </c>
      <c r="I62" s="111">
        <f>250000+200000+50000</f>
        <v>500000</v>
      </c>
    </row>
    <row r="63" spans="1:9" hidden="1" x14ac:dyDescent="0.2">
      <c r="A63" s="96"/>
      <c r="B63" s="96"/>
      <c r="C63" s="93" t="s">
        <v>102</v>
      </c>
      <c r="D63" s="94" t="s">
        <v>18</v>
      </c>
      <c r="E63" s="44">
        <f>E62-E65</f>
        <v>44250.36</v>
      </c>
      <c r="F63" s="95">
        <f>272.28+4645.3-1327.23+12608.67+39816.84</f>
        <v>56015.86</v>
      </c>
      <c r="G63" s="95"/>
      <c r="H63" s="95"/>
      <c r="I63" s="111"/>
    </row>
    <row r="64" spans="1:9" hidden="1" x14ac:dyDescent="0.2">
      <c r="A64" s="125"/>
      <c r="B64" s="125"/>
      <c r="C64" s="93" t="s">
        <v>105</v>
      </c>
      <c r="D64" s="94" t="s">
        <v>106</v>
      </c>
      <c r="E64" s="127"/>
      <c r="F64" s="127">
        <f>13000</f>
        <v>13000</v>
      </c>
      <c r="G64" s="127"/>
      <c r="H64" s="126"/>
      <c r="I64" s="126"/>
    </row>
    <row r="65" spans="1:9" hidden="1" x14ac:dyDescent="0.2">
      <c r="A65" s="125"/>
      <c r="B65" s="125"/>
      <c r="C65" s="93" t="s">
        <v>103</v>
      </c>
      <c r="D65" s="94" t="s">
        <v>104</v>
      </c>
      <c r="E65" s="127"/>
      <c r="F65" s="127">
        <f>26544.56+13272.28+7299.75+13272.28</f>
        <v>60388.87</v>
      </c>
      <c r="G65" s="127"/>
      <c r="H65" s="126"/>
      <c r="I65" s="126"/>
    </row>
    <row r="66" spans="1:9" x14ac:dyDescent="0.2">
      <c r="F66" s="128"/>
      <c r="G66" s="110"/>
      <c r="H66" s="123"/>
      <c r="I66" s="123"/>
    </row>
    <row r="67" spans="1:9" x14ac:dyDescent="0.2">
      <c r="F67" s="123"/>
      <c r="G67" s="123"/>
      <c r="H67" s="123"/>
      <c r="I67" s="123"/>
    </row>
    <row r="68" spans="1:9" x14ac:dyDescent="0.2">
      <c r="F68" s="123"/>
      <c r="G68" s="123"/>
    </row>
  </sheetData>
  <mergeCells count="8">
    <mergeCell ref="A14:I14"/>
    <mergeCell ref="A38:I38"/>
    <mergeCell ref="A3:I3"/>
    <mergeCell ref="A9:I9"/>
    <mergeCell ref="A1:I1"/>
    <mergeCell ref="A5:I5"/>
    <mergeCell ref="A12:I12"/>
    <mergeCell ref="A11:I11"/>
  </mergeCells>
  <pageMargins left="0.9055118110236221" right="0.51181102362204722" top="0.74803149606299213" bottom="0.74803149606299213" header="0.31496062992125984" footer="0.31496062992125984"/>
  <pageSetup paperSize="9" scale="7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A1:P81"/>
  <sheetViews>
    <sheetView topLeftCell="A25" workbookViewId="0">
      <selection activeCell="D12" sqref="D12"/>
    </sheetView>
  </sheetViews>
  <sheetFormatPr defaultRowHeight="14.25" x14ac:dyDescent="0.2"/>
  <cols>
    <col min="1" max="1" width="7.7109375" style="109" customWidth="1"/>
    <col min="2" max="2" width="8.28515625" style="109" customWidth="1"/>
    <col min="3" max="3" width="5.42578125" style="109" bestFit="1" customWidth="1"/>
    <col min="4" max="4" width="25.28515625" style="109" customWidth="1"/>
    <col min="5" max="9" width="22.7109375" style="109" customWidth="1"/>
    <col min="10" max="12" width="9.140625" style="109"/>
    <col min="13" max="13" width="13.140625" style="109" bestFit="1" customWidth="1"/>
    <col min="14" max="15" width="9.140625" style="109"/>
    <col min="16" max="16" width="11.28515625" style="109" bestFit="1" customWidth="1"/>
    <col min="17" max="16384" width="9.140625" style="109"/>
  </cols>
  <sheetData>
    <row r="1" spans="1:9" ht="42" customHeight="1" x14ac:dyDescent="0.2">
      <c r="A1" s="257" t="s">
        <v>107</v>
      </c>
      <c r="B1" s="257"/>
      <c r="C1" s="257"/>
      <c r="D1" s="257"/>
      <c r="E1" s="257"/>
      <c r="F1" s="257"/>
      <c r="G1" s="257"/>
      <c r="H1" s="257"/>
      <c r="I1" s="257"/>
    </row>
    <row r="2" spans="1:9" ht="18" customHeight="1" x14ac:dyDescent="0.2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">
      <c r="A3" s="257" t="s">
        <v>34</v>
      </c>
      <c r="B3" s="257"/>
      <c r="C3" s="257"/>
      <c r="D3" s="257"/>
      <c r="E3" s="257"/>
      <c r="F3" s="257"/>
      <c r="G3" s="257"/>
      <c r="H3" s="266"/>
      <c r="I3" s="266"/>
    </row>
    <row r="4" spans="1:9" ht="18" x14ac:dyDescent="0.2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">
      <c r="A5" s="257" t="s">
        <v>12</v>
      </c>
      <c r="B5" s="270"/>
      <c r="C5" s="270"/>
      <c r="D5" s="270"/>
      <c r="E5" s="270"/>
      <c r="F5" s="270"/>
      <c r="G5" s="270"/>
      <c r="H5" s="270"/>
      <c r="I5" s="270"/>
    </row>
    <row r="6" spans="1:9" ht="18" x14ac:dyDescent="0.2">
      <c r="A6" s="5"/>
      <c r="B6" s="5"/>
      <c r="C6" s="5"/>
      <c r="D6" s="5"/>
      <c r="E6" s="5"/>
      <c r="F6" s="5"/>
      <c r="G6" s="5"/>
      <c r="H6" s="6"/>
      <c r="I6" s="6"/>
    </row>
    <row r="7" spans="1:9" ht="15" x14ac:dyDescent="0.2">
      <c r="A7" s="257" t="s">
        <v>125</v>
      </c>
      <c r="B7" s="269"/>
      <c r="C7" s="269"/>
      <c r="D7" s="269"/>
      <c r="E7" s="269"/>
      <c r="F7" s="269"/>
      <c r="G7" s="269"/>
      <c r="H7" s="269"/>
      <c r="I7" s="269"/>
    </row>
    <row r="8" spans="1:9" ht="18" x14ac:dyDescent="0.2">
      <c r="A8" s="5"/>
      <c r="B8" s="5"/>
      <c r="C8" s="5"/>
      <c r="D8" s="5"/>
      <c r="E8" s="5"/>
      <c r="F8" s="5"/>
      <c r="G8" s="5"/>
      <c r="H8" s="6"/>
      <c r="I8" s="6"/>
    </row>
    <row r="9" spans="1:9" s="203" customFormat="1" ht="24" x14ac:dyDescent="0.2">
      <c r="A9" s="201" t="s">
        <v>13</v>
      </c>
      <c r="B9" s="202" t="s">
        <v>14</v>
      </c>
      <c r="C9" s="202" t="s">
        <v>15</v>
      </c>
      <c r="D9" s="202" t="s">
        <v>11</v>
      </c>
      <c r="E9" s="202" t="s">
        <v>122</v>
      </c>
      <c r="F9" s="201" t="s">
        <v>114</v>
      </c>
      <c r="G9" s="201" t="s">
        <v>111</v>
      </c>
      <c r="H9" s="201" t="s">
        <v>10</v>
      </c>
      <c r="I9" s="201" t="s">
        <v>112</v>
      </c>
    </row>
    <row r="10" spans="1:9" s="203" customFormat="1" ht="21.75" customHeight="1" x14ac:dyDescent="0.2">
      <c r="A10" s="204"/>
      <c r="B10" s="205"/>
      <c r="C10" s="205"/>
      <c r="D10" s="205"/>
      <c r="E10" s="206">
        <f>E11+E33</f>
        <v>1628992.71</v>
      </c>
      <c r="F10" s="206">
        <f t="shared" ref="F10:I10" si="0">F11+F33</f>
        <v>1572634.5500000003</v>
      </c>
      <c r="G10" s="206">
        <f t="shared" si="0"/>
        <v>1705661</v>
      </c>
      <c r="H10" s="206">
        <f t="shared" si="0"/>
        <v>1710080</v>
      </c>
      <c r="I10" s="206">
        <f t="shared" si="0"/>
        <v>1805100</v>
      </c>
    </row>
    <row r="11" spans="1:9" s="203" customFormat="1" ht="15.75" customHeight="1" x14ac:dyDescent="0.2">
      <c r="A11" s="207">
        <v>6</v>
      </c>
      <c r="B11" s="207"/>
      <c r="C11" s="208"/>
      <c r="D11" s="207" t="s">
        <v>16</v>
      </c>
      <c r="E11" s="209">
        <f>E12+E15+E19+E23+E27+E30</f>
        <v>1628816.47</v>
      </c>
      <c r="F11" s="210">
        <f>F12+F15+F19+F23+F27</f>
        <v>1571904.5700000003</v>
      </c>
      <c r="G11" s="210">
        <f>G12+G15+G19+G23+G27</f>
        <v>1705161</v>
      </c>
      <c r="H11" s="210">
        <f>H12+H15+H19+H23+H27</f>
        <v>1710080</v>
      </c>
      <c r="I11" s="210">
        <f>I12+I15+I19+I23+I27</f>
        <v>1805100</v>
      </c>
    </row>
    <row r="12" spans="1:9" s="203" customFormat="1" ht="15.75" customHeight="1" x14ac:dyDescent="0.2">
      <c r="A12" s="207"/>
      <c r="B12" s="211">
        <v>61</v>
      </c>
      <c r="C12" s="212"/>
      <c r="D12" s="211" t="s">
        <v>17</v>
      </c>
      <c r="E12" s="213">
        <v>167236.68</v>
      </c>
      <c r="F12" s="214">
        <f>153427.57</f>
        <v>153427.57</v>
      </c>
      <c r="G12" s="214">
        <v>277300</v>
      </c>
      <c r="H12" s="214">
        <f>H13</f>
        <v>200000</v>
      </c>
      <c r="I12" s="214">
        <f>I13</f>
        <v>200000</v>
      </c>
    </row>
    <row r="13" spans="1:9" s="203" customFormat="1" ht="12" x14ac:dyDescent="0.2">
      <c r="A13" s="215"/>
      <c r="B13" s="215"/>
      <c r="C13" s="216" t="s">
        <v>102</v>
      </c>
      <c r="D13" s="217" t="s">
        <v>18</v>
      </c>
      <c r="E13" s="218">
        <f>E12</f>
        <v>167236.68</v>
      </c>
      <c r="F13" s="214">
        <f>F12</f>
        <v>153427.57</v>
      </c>
      <c r="G13" s="214">
        <f>G12</f>
        <v>277300</v>
      </c>
      <c r="H13" s="214">
        <v>200000</v>
      </c>
      <c r="I13" s="214">
        <v>200000</v>
      </c>
    </row>
    <row r="14" spans="1:9" s="203" customFormat="1" ht="12" x14ac:dyDescent="0.2">
      <c r="A14" s="215"/>
      <c r="B14" s="215"/>
      <c r="C14" s="216"/>
      <c r="D14" s="217"/>
      <c r="E14" s="218"/>
      <c r="F14" s="214"/>
      <c r="G14" s="214"/>
      <c r="H14" s="214"/>
      <c r="I14" s="214"/>
    </row>
    <row r="15" spans="1:9" s="203" customFormat="1" ht="36" x14ac:dyDescent="0.2">
      <c r="A15" s="219"/>
      <c r="B15" s="219">
        <v>63</v>
      </c>
      <c r="C15" s="220"/>
      <c r="D15" s="221" t="s">
        <v>48</v>
      </c>
      <c r="E15" s="213">
        <v>913620.32</v>
      </c>
      <c r="F15" s="214">
        <f>776016.99</f>
        <v>776016.99</v>
      </c>
      <c r="G15" s="214">
        <v>1090366</v>
      </c>
      <c r="H15" s="214">
        <v>1040180</v>
      </c>
      <c r="I15" s="214">
        <v>1171500</v>
      </c>
    </row>
    <row r="16" spans="1:9" s="203" customFormat="1" ht="12" x14ac:dyDescent="0.2">
      <c r="A16" s="219"/>
      <c r="B16" s="219"/>
      <c r="C16" s="216" t="s">
        <v>102</v>
      </c>
      <c r="D16" s="217" t="s">
        <v>18</v>
      </c>
      <c r="E16" s="213">
        <f>E15-E17</f>
        <v>0</v>
      </c>
      <c r="F16" s="214">
        <f>265.45</f>
        <v>265.45</v>
      </c>
      <c r="G16" s="214"/>
      <c r="H16" s="214"/>
      <c r="I16" s="214"/>
    </row>
    <row r="17" spans="1:9" s="203" customFormat="1" ht="12" x14ac:dyDescent="0.2">
      <c r="A17" s="215"/>
      <c r="B17" s="215"/>
      <c r="C17" s="216" t="s">
        <v>103</v>
      </c>
      <c r="D17" s="217" t="s">
        <v>104</v>
      </c>
      <c r="E17" s="218">
        <f>E15</f>
        <v>913620.32</v>
      </c>
      <c r="F17" s="214">
        <f>F15-F16</f>
        <v>775751.54</v>
      </c>
      <c r="G17" s="214">
        <f>G15-G16</f>
        <v>1090366</v>
      </c>
      <c r="H17" s="214">
        <f>H15-H16</f>
        <v>1040180</v>
      </c>
      <c r="I17" s="214">
        <f>I15-I16</f>
        <v>1171500</v>
      </c>
    </row>
    <row r="18" spans="1:9" s="203" customFormat="1" ht="12" x14ac:dyDescent="0.2">
      <c r="A18" s="215"/>
      <c r="B18" s="215"/>
      <c r="C18" s="216"/>
      <c r="D18" s="217"/>
      <c r="E18" s="218"/>
      <c r="F18" s="214"/>
      <c r="G18" s="214"/>
      <c r="H18" s="214"/>
      <c r="I18" s="214"/>
    </row>
    <row r="19" spans="1:9" s="203" customFormat="1" ht="12" x14ac:dyDescent="0.2">
      <c r="A19" s="219"/>
      <c r="B19" s="219">
        <v>64</v>
      </c>
      <c r="C19" s="220"/>
      <c r="D19" s="219" t="s">
        <v>45</v>
      </c>
      <c r="E19" s="213">
        <v>381161.54</v>
      </c>
      <c r="F19" s="214">
        <f>498336.32</f>
        <v>498336.32</v>
      </c>
      <c r="G19" s="214">
        <v>216030</v>
      </c>
      <c r="H19" s="214">
        <v>301000</v>
      </c>
      <c r="I19" s="214">
        <v>276100</v>
      </c>
    </row>
    <row r="20" spans="1:9" s="203" customFormat="1" ht="12" x14ac:dyDescent="0.2">
      <c r="A20" s="219"/>
      <c r="B20" s="219"/>
      <c r="C20" s="216" t="s">
        <v>102</v>
      </c>
      <c r="D20" s="217" t="s">
        <v>18</v>
      </c>
      <c r="E20" s="213">
        <f>E19-E21</f>
        <v>380763.37</v>
      </c>
      <c r="F20" s="214">
        <f>F19-F21</f>
        <v>495549.14</v>
      </c>
      <c r="G20" s="214">
        <f>G19-G21</f>
        <v>213050</v>
      </c>
      <c r="H20" s="214">
        <f>H19-H21</f>
        <v>298300</v>
      </c>
      <c r="I20" s="214">
        <f>I19-I21</f>
        <v>273300</v>
      </c>
    </row>
    <row r="21" spans="1:9" s="203" customFormat="1" ht="12" x14ac:dyDescent="0.2">
      <c r="A21" s="215"/>
      <c r="B21" s="215"/>
      <c r="C21" s="216" t="s">
        <v>105</v>
      </c>
      <c r="D21" s="217" t="s">
        <v>106</v>
      </c>
      <c r="E21" s="218">
        <v>398.17</v>
      </c>
      <c r="F21" s="214">
        <f>2787.18</f>
        <v>2787.18</v>
      </c>
      <c r="G21" s="214">
        <f>800+2000+50+130</f>
        <v>2980</v>
      </c>
      <c r="H21" s="214">
        <f>700+2000</f>
        <v>2700</v>
      </c>
      <c r="I21" s="214">
        <f>2800</f>
        <v>2800</v>
      </c>
    </row>
    <row r="22" spans="1:9" s="203" customFormat="1" ht="12" x14ac:dyDescent="0.2">
      <c r="A22" s="215"/>
      <c r="B22" s="215"/>
      <c r="C22" s="216"/>
      <c r="D22" s="217"/>
      <c r="E22" s="218"/>
      <c r="F22" s="214"/>
      <c r="G22" s="214"/>
      <c r="H22" s="214"/>
      <c r="I22" s="214"/>
    </row>
    <row r="23" spans="1:9" s="203" customFormat="1" ht="48" x14ac:dyDescent="0.2">
      <c r="A23" s="219"/>
      <c r="B23" s="219">
        <v>65</v>
      </c>
      <c r="C23" s="220"/>
      <c r="D23" s="221" t="s">
        <v>50</v>
      </c>
      <c r="E23" s="213">
        <v>166545.75</v>
      </c>
      <c r="F23" s="214">
        <f>143924.61</f>
        <v>143924.60999999999</v>
      </c>
      <c r="G23" s="214">
        <v>121465</v>
      </c>
      <c r="H23" s="214">
        <v>168900</v>
      </c>
      <c r="I23" s="214">
        <v>157500</v>
      </c>
    </row>
    <row r="24" spans="1:9" s="203" customFormat="1" ht="12" x14ac:dyDescent="0.2">
      <c r="A24" s="219"/>
      <c r="B24" s="219"/>
      <c r="C24" s="216" t="s">
        <v>102</v>
      </c>
      <c r="D24" s="217" t="s">
        <v>18</v>
      </c>
      <c r="E24" s="213">
        <f>E23-E25</f>
        <v>21143.420000000013</v>
      </c>
      <c r="F24" s="214">
        <f>F23-F25</f>
        <v>22854.859999999986</v>
      </c>
      <c r="G24" s="214">
        <f>G23-G25</f>
        <v>31847</v>
      </c>
      <c r="H24" s="214">
        <f>H23-H25</f>
        <v>111890</v>
      </c>
      <c r="I24" s="214">
        <f>I23-I25</f>
        <v>119350</v>
      </c>
    </row>
    <row r="25" spans="1:9" s="203" customFormat="1" ht="12" x14ac:dyDescent="0.2">
      <c r="A25" s="215"/>
      <c r="B25" s="215"/>
      <c r="C25" s="216" t="s">
        <v>105</v>
      </c>
      <c r="D25" s="217" t="s">
        <v>106</v>
      </c>
      <c r="E25" s="213">
        <v>145402.32999999999</v>
      </c>
      <c r="F25" s="214">
        <f>121069.75</f>
        <v>121069.75</v>
      </c>
      <c r="G25" s="214">
        <f>12000+50+62000+100+15468</f>
        <v>89618</v>
      </c>
      <c r="H25" s="214">
        <f>15000+30000+12000+10</f>
        <v>57010</v>
      </c>
      <c r="I25" s="214">
        <f>12000+50+10000+100+16000</f>
        <v>38150</v>
      </c>
    </row>
    <row r="26" spans="1:9" s="203" customFormat="1" ht="12" x14ac:dyDescent="0.2">
      <c r="A26" s="215"/>
      <c r="B26" s="215"/>
      <c r="C26" s="216"/>
      <c r="D26" s="217"/>
      <c r="E26" s="213"/>
      <c r="F26" s="214"/>
      <c r="G26" s="214"/>
      <c r="H26" s="214"/>
      <c r="I26" s="214"/>
    </row>
    <row r="27" spans="1:9" s="203" customFormat="1" ht="48" x14ac:dyDescent="0.2">
      <c r="A27" s="219"/>
      <c r="B27" s="219">
        <v>66</v>
      </c>
      <c r="C27" s="220"/>
      <c r="D27" s="221" t="s">
        <v>51</v>
      </c>
      <c r="E27" s="213">
        <v>188.47</v>
      </c>
      <c r="F27" s="214">
        <f>199.08</f>
        <v>199.08</v>
      </c>
      <c r="G27" s="214"/>
      <c r="H27" s="214"/>
      <c r="I27" s="214"/>
    </row>
    <row r="28" spans="1:9" s="203" customFormat="1" ht="12" x14ac:dyDescent="0.2">
      <c r="A28" s="215"/>
      <c r="B28" s="215"/>
      <c r="C28" s="216" t="s">
        <v>102</v>
      </c>
      <c r="D28" s="217" t="s">
        <v>18</v>
      </c>
      <c r="E28" s="218">
        <f>E27</f>
        <v>188.47</v>
      </c>
      <c r="F28" s="214">
        <f>F27</f>
        <v>199.08</v>
      </c>
      <c r="G28" s="214">
        <f>G27</f>
        <v>0</v>
      </c>
      <c r="H28" s="214">
        <f>H27</f>
        <v>0</v>
      </c>
      <c r="I28" s="214">
        <f>I27</f>
        <v>0</v>
      </c>
    </row>
    <row r="29" spans="1:9" s="203" customFormat="1" ht="12" x14ac:dyDescent="0.2">
      <c r="A29" s="215"/>
      <c r="B29" s="215"/>
      <c r="C29" s="216"/>
      <c r="D29" s="217"/>
      <c r="E29" s="218"/>
      <c r="F29" s="218"/>
      <c r="G29" s="218"/>
      <c r="H29" s="218"/>
      <c r="I29" s="218"/>
    </row>
    <row r="30" spans="1:9" s="203" customFormat="1" ht="24" x14ac:dyDescent="0.2">
      <c r="A30" s="215"/>
      <c r="B30" s="215">
        <v>68</v>
      </c>
      <c r="C30" s="216"/>
      <c r="D30" s="222" t="s">
        <v>208</v>
      </c>
      <c r="E30" s="218">
        <v>63.71</v>
      </c>
      <c r="F30" s="218"/>
      <c r="G30" s="218"/>
      <c r="H30" s="218"/>
      <c r="I30" s="218"/>
    </row>
    <row r="31" spans="1:9" s="203" customFormat="1" ht="12" x14ac:dyDescent="0.2">
      <c r="A31" s="215"/>
      <c r="B31" s="215"/>
      <c r="C31" s="216" t="s">
        <v>102</v>
      </c>
      <c r="D31" s="217" t="s">
        <v>18</v>
      </c>
      <c r="E31" s="218">
        <f>E30</f>
        <v>63.71</v>
      </c>
      <c r="F31" s="218"/>
      <c r="G31" s="218"/>
      <c r="H31" s="218"/>
      <c r="I31" s="218"/>
    </row>
    <row r="32" spans="1:9" s="203" customFormat="1" ht="12" x14ac:dyDescent="0.2">
      <c r="A32" s="215"/>
      <c r="B32" s="215"/>
      <c r="C32" s="216"/>
      <c r="D32" s="217"/>
      <c r="E32" s="218"/>
      <c r="F32" s="218"/>
      <c r="G32" s="218"/>
      <c r="H32" s="218"/>
      <c r="I32" s="218"/>
    </row>
    <row r="33" spans="1:9" s="203" customFormat="1" ht="24" x14ac:dyDescent="0.2">
      <c r="A33" s="223">
        <v>7</v>
      </c>
      <c r="B33" s="223"/>
      <c r="C33" s="224"/>
      <c r="D33" s="225" t="s">
        <v>19</v>
      </c>
      <c r="E33" s="226">
        <f>E34</f>
        <v>176.24</v>
      </c>
      <c r="F33" s="210">
        <f t="shared" ref="F33" si="1">F34</f>
        <v>729.98</v>
      </c>
      <c r="G33" s="210">
        <f t="shared" ref="G33:I33" si="2">G34</f>
        <v>500</v>
      </c>
      <c r="H33" s="210">
        <f t="shared" si="2"/>
        <v>0</v>
      </c>
      <c r="I33" s="210">
        <f t="shared" si="2"/>
        <v>0</v>
      </c>
    </row>
    <row r="34" spans="1:9" s="203" customFormat="1" ht="36" x14ac:dyDescent="0.2">
      <c r="A34" s="211"/>
      <c r="B34" s="211">
        <v>72</v>
      </c>
      <c r="C34" s="212"/>
      <c r="D34" s="227" t="s">
        <v>49</v>
      </c>
      <c r="E34" s="213">
        <v>176.24</v>
      </c>
      <c r="F34" s="214">
        <f>729.98</f>
        <v>729.98</v>
      </c>
      <c r="G34" s="214">
        <v>500</v>
      </c>
      <c r="H34" s="214"/>
      <c r="I34" s="228"/>
    </row>
    <row r="35" spans="1:9" s="203" customFormat="1" ht="12" x14ac:dyDescent="0.2">
      <c r="A35" s="229"/>
      <c r="B35" s="229"/>
      <c r="C35" s="216" t="s">
        <v>102</v>
      </c>
      <c r="D35" s="217" t="s">
        <v>18</v>
      </c>
      <c r="E35" s="218">
        <f>E34</f>
        <v>176.24</v>
      </c>
      <c r="F35" s="214">
        <f>F34</f>
        <v>729.98</v>
      </c>
      <c r="G35" s="214">
        <f>G34</f>
        <v>500</v>
      </c>
      <c r="H35" s="214">
        <f>H34</f>
        <v>0</v>
      </c>
      <c r="I35" s="228">
        <f>I34</f>
        <v>0</v>
      </c>
    </row>
    <row r="36" spans="1:9" s="203" customFormat="1" ht="12" x14ac:dyDescent="0.2">
      <c r="C36" s="230"/>
      <c r="H36" s="231"/>
      <c r="I36" s="231"/>
    </row>
    <row r="37" spans="1:9" s="203" customFormat="1" ht="12" x14ac:dyDescent="0.2">
      <c r="A37" s="273" t="s">
        <v>126</v>
      </c>
      <c r="B37" s="274"/>
      <c r="C37" s="274"/>
      <c r="D37" s="274"/>
      <c r="E37" s="274"/>
      <c r="F37" s="274"/>
      <c r="G37" s="274"/>
      <c r="H37" s="274"/>
      <c r="I37" s="274"/>
    </row>
    <row r="38" spans="1:9" s="203" customFormat="1" ht="12" x14ac:dyDescent="0.2">
      <c r="A38" s="232"/>
      <c r="B38" s="232"/>
      <c r="C38" s="232"/>
      <c r="D38" s="232"/>
      <c r="E38" s="232"/>
      <c r="F38" s="232"/>
      <c r="G38" s="232"/>
      <c r="H38" s="233"/>
      <c r="I38" s="233"/>
    </row>
    <row r="39" spans="1:9" s="203" customFormat="1" ht="24" x14ac:dyDescent="0.2">
      <c r="A39" s="201" t="s">
        <v>13</v>
      </c>
      <c r="B39" s="202" t="s">
        <v>14</v>
      </c>
      <c r="C39" s="202" t="s">
        <v>15</v>
      </c>
      <c r="D39" s="202" t="s">
        <v>21</v>
      </c>
      <c r="E39" s="202" t="s">
        <v>122</v>
      </c>
      <c r="F39" s="201" t="s">
        <v>114</v>
      </c>
      <c r="G39" s="201" t="s">
        <v>111</v>
      </c>
      <c r="H39" s="201" t="s">
        <v>10</v>
      </c>
      <c r="I39" s="201" t="s">
        <v>112</v>
      </c>
    </row>
    <row r="40" spans="1:9" s="203" customFormat="1" ht="15.75" customHeight="1" x14ac:dyDescent="0.2">
      <c r="A40" s="207">
        <v>3</v>
      </c>
      <c r="B40" s="207"/>
      <c r="C40" s="207"/>
      <c r="D40" s="207" t="s">
        <v>22</v>
      </c>
      <c r="E40" s="226">
        <f>E41+E45+E50+E53+E56+E60+E63</f>
        <v>835640.00000000012</v>
      </c>
      <c r="F40" s="210">
        <f>F41+F45+F50+F53+F56+F60+F63</f>
        <v>1016791.4400000001</v>
      </c>
      <c r="G40" s="210">
        <f>G41+G45+G50+G53+G56+G60+G63</f>
        <v>1261061</v>
      </c>
      <c r="H40" s="210">
        <f>H41+H45+H50+H53+H56+H60+H63</f>
        <v>1108280</v>
      </c>
      <c r="I40" s="210">
        <f>I41+I45+I50+I53+I56+I60+I63</f>
        <v>884100</v>
      </c>
    </row>
    <row r="41" spans="1:9" s="203" customFormat="1" ht="15.75" customHeight="1" x14ac:dyDescent="0.2">
      <c r="A41" s="207"/>
      <c r="B41" s="211">
        <v>31</v>
      </c>
      <c r="C41" s="211"/>
      <c r="D41" s="211" t="s">
        <v>23</v>
      </c>
      <c r="E41" s="213">
        <v>278935.49</v>
      </c>
      <c r="F41" s="214">
        <f>25615.5+84716.97+9834.76+162120.91+9901.12+19802.24</f>
        <v>311991.5</v>
      </c>
      <c r="G41" s="214">
        <v>454573</v>
      </c>
      <c r="H41" s="214">
        <v>457410</v>
      </c>
      <c r="I41" s="214">
        <v>458410</v>
      </c>
    </row>
    <row r="42" spans="1:9" s="203" customFormat="1" ht="12" x14ac:dyDescent="0.2">
      <c r="A42" s="215"/>
      <c r="B42" s="215"/>
      <c r="C42" s="216" t="s">
        <v>102</v>
      </c>
      <c r="D42" s="217" t="s">
        <v>18</v>
      </c>
      <c r="E42" s="218">
        <f>E41-E43</f>
        <v>255212.81</v>
      </c>
      <c r="F42" s="214">
        <f>25615.5+84716.97+9834.76+162120.91</f>
        <v>282288.14</v>
      </c>
      <c r="G42" s="214">
        <f>G41-G43</f>
        <v>275927</v>
      </c>
      <c r="H42" s="214">
        <f>H41-H43</f>
        <v>278114</v>
      </c>
      <c r="I42" s="214">
        <f>I41-I43</f>
        <v>279514</v>
      </c>
    </row>
    <row r="43" spans="1:9" s="203" customFormat="1" ht="12" x14ac:dyDescent="0.2">
      <c r="A43" s="215"/>
      <c r="B43" s="215"/>
      <c r="C43" s="216" t="s">
        <v>103</v>
      </c>
      <c r="D43" s="217" t="s">
        <v>104</v>
      </c>
      <c r="E43" s="218">
        <f>4213.45+19509.23</f>
        <v>23722.68</v>
      </c>
      <c r="F43" s="214">
        <f>9901.12+19802.24</f>
        <v>29703.360000000001</v>
      </c>
      <c r="G43" s="214">
        <f>11750+80486+86410</f>
        <v>178646</v>
      </c>
      <c r="H43" s="214">
        <f>12250+80486+86560</f>
        <v>179296</v>
      </c>
      <c r="I43" s="214">
        <f>86410+80486+12000</f>
        <v>178896</v>
      </c>
    </row>
    <row r="44" spans="1:9" s="203" customFormat="1" ht="12" x14ac:dyDescent="0.2">
      <c r="A44" s="215"/>
      <c r="B44" s="215"/>
      <c r="C44" s="216"/>
      <c r="D44" s="217"/>
      <c r="E44" s="218"/>
      <c r="F44" s="214"/>
      <c r="G44" s="214"/>
      <c r="H44" s="214"/>
      <c r="I44" s="214"/>
    </row>
    <row r="45" spans="1:9" s="203" customFormat="1" ht="12" x14ac:dyDescent="0.2">
      <c r="A45" s="215"/>
      <c r="B45" s="229">
        <v>32</v>
      </c>
      <c r="C45" s="229"/>
      <c r="D45" s="229" t="s">
        <v>37</v>
      </c>
      <c r="E45" s="218">
        <v>380576.05</v>
      </c>
      <c r="F45" s="214">
        <f>12608.66+4114.4+9290.59+107096.02+1327.23+19908.42+168956.14+8361.54+663.61+29199.02+9954.21+9821.49+9556.04+1327.23+6636.14+43426.9+132.72+132.72</f>
        <v>442513.07999999996</v>
      </c>
      <c r="G45" s="214">
        <v>501766</v>
      </c>
      <c r="H45" s="214">
        <v>439620</v>
      </c>
      <c r="I45" s="214">
        <v>282690</v>
      </c>
    </row>
    <row r="46" spans="1:9" s="203" customFormat="1" ht="12" x14ac:dyDescent="0.2">
      <c r="A46" s="215"/>
      <c r="B46" s="215"/>
      <c r="C46" s="216" t="s">
        <v>102</v>
      </c>
      <c r="D46" s="217" t="s">
        <v>18</v>
      </c>
      <c r="E46" s="218">
        <f>E45-E47-E48</f>
        <v>218081.22999999998</v>
      </c>
      <c r="F46" s="214">
        <f>12608.66+4114.4+9290.59+107096.02+1327.23+19908.42+54098.96+530.89+16748.49+9954.21+9821.49+9556.04+1327.23+13962.43</f>
        <v>270345.06</v>
      </c>
      <c r="G46" s="214">
        <f>G45-G47-G48</f>
        <v>368778</v>
      </c>
      <c r="H46" s="214">
        <f>H45-H47-H48</f>
        <v>348760</v>
      </c>
      <c r="I46" s="214">
        <f>I45-I47-I48</f>
        <v>221840</v>
      </c>
    </row>
    <row r="47" spans="1:9" s="203" customFormat="1" ht="12" x14ac:dyDescent="0.2">
      <c r="A47" s="215"/>
      <c r="B47" s="215"/>
      <c r="C47" s="216" t="s">
        <v>105</v>
      </c>
      <c r="D47" s="217" t="s">
        <v>106</v>
      </c>
      <c r="E47" s="218">
        <f>87.1+108105.73+33.97+10.94+13272.28</f>
        <v>121510.02</v>
      </c>
      <c r="F47" s="214">
        <f>90468.17+10750.55+132.72+7905.97</f>
        <v>109257.41</v>
      </c>
      <c r="G47" s="214">
        <f>130+50+62000+15468+2800+100+50</f>
        <v>80598</v>
      </c>
      <c r="H47" s="214">
        <f>100+50+20000+9710+2000+8000+40+21810</f>
        <v>61710</v>
      </c>
      <c r="I47" s="214">
        <f>19000+40+5000+50+1500+14950+1760+50+100</f>
        <v>42450</v>
      </c>
    </row>
    <row r="48" spans="1:9" s="203" customFormat="1" ht="12" x14ac:dyDescent="0.2">
      <c r="A48" s="215"/>
      <c r="B48" s="215"/>
      <c r="C48" s="216" t="s">
        <v>103</v>
      </c>
      <c r="D48" s="217" t="s">
        <v>104</v>
      </c>
      <c r="E48" s="218">
        <f>18448.47+17441.34+3841.53+775.66+477.8</f>
        <v>40984.800000000003</v>
      </c>
      <c r="F48" s="214">
        <f>22000+4544.56+6636.14+29464.47+132.72+132.72</f>
        <v>62910.610000000008</v>
      </c>
      <c r="G48" s="214">
        <f>240+22000+30000+150</f>
        <v>52390</v>
      </c>
      <c r="H48" s="214">
        <f>9000+20000+150</f>
        <v>29150</v>
      </c>
      <c r="I48" s="214">
        <f>150+18000+250</f>
        <v>18400</v>
      </c>
    </row>
    <row r="49" spans="1:9" s="203" customFormat="1" ht="12" x14ac:dyDescent="0.2">
      <c r="A49" s="215"/>
      <c r="B49" s="215"/>
      <c r="C49" s="216"/>
      <c r="D49" s="217"/>
      <c r="E49" s="218"/>
      <c r="F49" s="214"/>
      <c r="G49" s="214"/>
      <c r="H49" s="214"/>
      <c r="I49" s="214"/>
    </row>
    <row r="50" spans="1:9" s="203" customFormat="1" ht="12" x14ac:dyDescent="0.2">
      <c r="A50" s="215"/>
      <c r="B50" s="215">
        <v>34</v>
      </c>
      <c r="C50" s="217"/>
      <c r="D50" s="215" t="s">
        <v>100</v>
      </c>
      <c r="E50" s="218">
        <v>4073.16</v>
      </c>
      <c r="F50" s="214">
        <f>2521.73+929.06</f>
        <v>3450.79</v>
      </c>
      <c r="G50" s="214">
        <v>3968</v>
      </c>
      <c r="H50" s="214">
        <v>4150</v>
      </c>
      <c r="I50" s="214">
        <v>4200</v>
      </c>
    </row>
    <row r="51" spans="1:9" s="203" customFormat="1" ht="12" x14ac:dyDescent="0.2">
      <c r="A51" s="215"/>
      <c r="B51" s="215"/>
      <c r="C51" s="216" t="s">
        <v>102</v>
      </c>
      <c r="D51" s="217" t="s">
        <v>18</v>
      </c>
      <c r="E51" s="218">
        <f>E50</f>
        <v>4073.16</v>
      </c>
      <c r="F51" s="214">
        <f>2521.73+929.06</f>
        <v>3450.79</v>
      </c>
      <c r="G51" s="214">
        <f>G50</f>
        <v>3968</v>
      </c>
      <c r="H51" s="214">
        <f>H50</f>
        <v>4150</v>
      </c>
      <c r="I51" s="214">
        <f>I50</f>
        <v>4200</v>
      </c>
    </row>
    <row r="52" spans="1:9" s="203" customFormat="1" ht="12" x14ac:dyDescent="0.2">
      <c r="A52" s="215"/>
      <c r="B52" s="215"/>
      <c r="C52" s="216"/>
      <c r="D52" s="217"/>
      <c r="E52" s="218"/>
      <c r="F52" s="214"/>
      <c r="G52" s="214"/>
      <c r="H52" s="214"/>
      <c r="I52" s="214"/>
    </row>
    <row r="53" spans="1:9" s="203" customFormat="1" ht="12" x14ac:dyDescent="0.2">
      <c r="A53" s="215"/>
      <c r="B53" s="215">
        <v>35</v>
      </c>
      <c r="C53" s="217"/>
      <c r="D53" s="215" t="s">
        <v>52</v>
      </c>
      <c r="E53" s="218">
        <v>15114.36</v>
      </c>
      <c r="F53" s="214">
        <f>19244.81+5308.91+398.17</f>
        <v>24951.89</v>
      </c>
      <c r="G53" s="214">
        <v>25300</v>
      </c>
      <c r="H53" s="214">
        <v>23200</v>
      </c>
      <c r="I53" s="214">
        <v>13200</v>
      </c>
    </row>
    <row r="54" spans="1:9" s="203" customFormat="1" ht="12" x14ac:dyDescent="0.2">
      <c r="A54" s="215"/>
      <c r="B54" s="215"/>
      <c r="C54" s="216" t="s">
        <v>102</v>
      </c>
      <c r="D54" s="217" t="s">
        <v>18</v>
      </c>
      <c r="E54" s="218">
        <f>E53</f>
        <v>15114.36</v>
      </c>
      <c r="F54" s="214">
        <f>19244.81+5308.91+398.17</f>
        <v>24951.89</v>
      </c>
      <c r="G54" s="214">
        <f>G53</f>
        <v>25300</v>
      </c>
      <c r="H54" s="214">
        <f>H53</f>
        <v>23200</v>
      </c>
      <c r="I54" s="214">
        <f>I53</f>
        <v>13200</v>
      </c>
    </row>
    <row r="55" spans="1:9" s="203" customFormat="1" ht="12" x14ac:dyDescent="0.2">
      <c r="A55" s="215"/>
      <c r="B55" s="215"/>
      <c r="C55" s="216"/>
      <c r="D55" s="217"/>
      <c r="E55" s="218"/>
      <c r="F55" s="214"/>
      <c r="G55" s="214"/>
      <c r="H55" s="214"/>
      <c r="I55" s="214"/>
    </row>
    <row r="56" spans="1:9" s="203" customFormat="1" ht="24" x14ac:dyDescent="0.2">
      <c r="A56" s="215"/>
      <c r="B56" s="215">
        <v>36</v>
      </c>
      <c r="C56" s="217"/>
      <c r="D56" s="222" t="s">
        <v>53</v>
      </c>
      <c r="E56" s="218">
        <v>42846.42</v>
      </c>
      <c r="F56" s="214">
        <f>26544.56+796.34+3185.34+1592.67+3981.69+14599.51+2654.46</f>
        <v>53354.570000000007</v>
      </c>
      <c r="G56" s="214">
        <v>45592</v>
      </c>
      <c r="H56" s="214">
        <v>25600</v>
      </c>
      <c r="I56" s="214">
        <v>20100</v>
      </c>
    </row>
    <row r="57" spans="1:9" s="203" customFormat="1" ht="12" x14ac:dyDescent="0.2">
      <c r="A57" s="215"/>
      <c r="B57" s="215"/>
      <c r="C57" s="216" t="s">
        <v>102</v>
      </c>
      <c r="D57" s="217" t="s">
        <v>18</v>
      </c>
      <c r="E57" s="218">
        <f>E56-E58</f>
        <v>30390.469999999998</v>
      </c>
      <c r="F57" s="214">
        <f>26544.56+796.34+3185.34+1592.67+3981.69+2654.46</f>
        <v>38755.060000000005</v>
      </c>
      <c r="G57" s="214">
        <f>G56-G58</f>
        <v>31592</v>
      </c>
      <c r="H57" s="214">
        <f>H56-H58</f>
        <v>11600</v>
      </c>
      <c r="I57" s="214">
        <f>I56-I58</f>
        <v>6100</v>
      </c>
    </row>
    <row r="58" spans="1:9" s="203" customFormat="1" ht="12" x14ac:dyDescent="0.2">
      <c r="A58" s="215"/>
      <c r="B58" s="215"/>
      <c r="C58" s="216" t="s">
        <v>103</v>
      </c>
      <c r="D58" s="217" t="s">
        <v>104</v>
      </c>
      <c r="E58" s="218">
        <v>12455.95</v>
      </c>
      <c r="F58" s="214">
        <v>14599.51</v>
      </c>
      <c r="G58" s="214">
        <f>14000</f>
        <v>14000</v>
      </c>
      <c r="H58" s="214">
        <v>14000</v>
      </c>
      <c r="I58" s="214">
        <v>14000</v>
      </c>
    </row>
    <row r="59" spans="1:9" s="203" customFormat="1" ht="12" x14ac:dyDescent="0.2">
      <c r="A59" s="215"/>
      <c r="B59" s="215"/>
      <c r="C59" s="216"/>
      <c r="D59" s="217"/>
      <c r="E59" s="218"/>
      <c r="F59" s="214"/>
      <c r="G59" s="214"/>
      <c r="H59" s="214"/>
      <c r="I59" s="214"/>
    </row>
    <row r="60" spans="1:9" s="203" customFormat="1" ht="36" x14ac:dyDescent="0.2">
      <c r="A60" s="215"/>
      <c r="B60" s="215">
        <v>37</v>
      </c>
      <c r="C60" s="217"/>
      <c r="D60" s="222" t="s">
        <v>54</v>
      </c>
      <c r="E60" s="218">
        <v>44721.39</v>
      </c>
      <c r="F60" s="214">
        <f>3318.07+11281.44+46851.15+1592.67</f>
        <v>63043.33</v>
      </c>
      <c r="G60" s="214">
        <v>68000</v>
      </c>
      <c r="H60" s="214">
        <v>64500</v>
      </c>
      <c r="I60" s="214">
        <v>44500</v>
      </c>
    </row>
    <row r="61" spans="1:9" s="203" customFormat="1" ht="12" x14ac:dyDescent="0.2">
      <c r="A61" s="215"/>
      <c r="B61" s="215"/>
      <c r="C61" s="216" t="s">
        <v>102</v>
      </c>
      <c r="D61" s="217" t="s">
        <v>18</v>
      </c>
      <c r="E61" s="218">
        <f>E60</f>
        <v>44721.39</v>
      </c>
      <c r="F61" s="214">
        <f>3318.07+11281.44+46851.15+1592.67</f>
        <v>63043.33</v>
      </c>
      <c r="G61" s="214">
        <f>G60</f>
        <v>68000</v>
      </c>
      <c r="H61" s="214">
        <f>H60</f>
        <v>64500</v>
      </c>
      <c r="I61" s="214">
        <f>I60</f>
        <v>44500</v>
      </c>
    </row>
    <row r="62" spans="1:9" s="203" customFormat="1" ht="12" x14ac:dyDescent="0.2">
      <c r="A62" s="215"/>
      <c r="B62" s="215"/>
      <c r="C62" s="216"/>
      <c r="D62" s="217"/>
      <c r="E62" s="218"/>
      <c r="F62" s="214"/>
      <c r="G62" s="214"/>
      <c r="H62" s="214"/>
      <c r="I62" s="214"/>
    </row>
    <row r="63" spans="1:9" s="203" customFormat="1" ht="12" x14ac:dyDescent="0.2">
      <c r="A63" s="215"/>
      <c r="B63" s="215">
        <v>38</v>
      </c>
      <c r="C63" s="217"/>
      <c r="D63" s="215" t="s">
        <v>55</v>
      </c>
      <c r="E63" s="218">
        <v>69373.13</v>
      </c>
      <c r="F63" s="214">
        <f>1990.9+1353.77+13272.28+2919.9+37162.39+3318.07+29199.02+663.61+4379.85+21899.26+1327.23</f>
        <v>117486.28</v>
      </c>
      <c r="G63" s="214">
        <v>161862</v>
      </c>
      <c r="H63" s="214">
        <v>93800</v>
      </c>
      <c r="I63" s="214">
        <v>61000</v>
      </c>
    </row>
    <row r="64" spans="1:9" s="203" customFormat="1" ht="12" x14ac:dyDescent="0.2">
      <c r="A64" s="215"/>
      <c r="B64" s="215"/>
      <c r="C64" s="216" t="s">
        <v>102</v>
      </c>
      <c r="D64" s="217" t="s">
        <v>18</v>
      </c>
      <c r="E64" s="218">
        <f>E63</f>
        <v>69373.13</v>
      </c>
      <c r="F64" s="214">
        <f>1990.9+1535.77+13272.28+2919.9+37162.39+3318.07+29199.02+663.61+4379.85+21899.26+1127.23+18</f>
        <v>117486.28</v>
      </c>
      <c r="G64" s="214">
        <f>G63</f>
        <v>161862</v>
      </c>
      <c r="H64" s="214">
        <f>H63</f>
        <v>93800</v>
      </c>
      <c r="I64" s="214">
        <f>I63</f>
        <v>61000</v>
      </c>
    </row>
    <row r="65" spans="1:16" s="203" customFormat="1" ht="24" x14ac:dyDescent="0.2">
      <c r="A65" s="234">
        <v>4</v>
      </c>
      <c r="B65" s="234"/>
      <c r="C65" s="234"/>
      <c r="D65" s="235" t="s">
        <v>24</v>
      </c>
      <c r="E65" s="210">
        <f>E71+E76+E66</f>
        <v>583121.39</v>
      </c>
      <c r="F65" s="210">
        <f>F71+F76+F66</f>
        <v>555843.11</v>
      </c>
      <c r="G65" s="210">
        <f>G71+G76+G66</f>
        <v>764600</v>
      </c>
      <c r="H65" s="210">
        <f>H71+H76+H66</f>
        <v>601800</v>
      </c>
      <c r="I65" s="210">
        <f>I71+I76+I66</f>
        <v>921000</v>
      </c>
    </row>
    <row r="66" spans="1:16" s="203" customFormat="1" ht="36" x14ac:dyDescent="0.2">
      <c r="A66" s="234"/>
      <c r="B66" s="236">
        <v>41</v>
      </c>
      <c r="C66" s="234"/>
      <c r="D66" s="237" t="s">
        <v>25</v>
      </c>
      <c r="E66" s="218">
        <v>4846.93</v>
      </c>
      <c r="F66" s="218">
        <f>6636.14</f>
        <v>6636.14</v>
      </c>
      <c r="G66" s="210"/>
      <c r="H66" s="210"/>
      <c r="I66" s="210"/>
      <c r="M66" s="231"/>
      <c r="P66" s="231"/>
    </row>
    <row r="67" spans="1:16" s="203" customFormat="1" ht="12" x14ac:dyDescent="0.2">
      <c r="A67" s="234"/>
      <c r="B67" s="236"/>
      <c r="C67" s="216" t="s">
        <v>102</v>
      </c>
      <c r="D67" s="217" t="s">
        <v>18</v>
      </c>
      <c r="E67" s="218">
        <v>4846.93</v>
      </c>
      <c r="F67" s="218">
        <f>6636.14</f>
        <v>6636.14</v>
      </c>
      <c r="G67" s="218"/>
      <c r="H67" s="210"/>
      <c r="I67" s="218">
        <f>I66</f>
        <v>0</v>
      </c>
      <c r="M67" s="231"/>
      <c r="P67" s="231"/>
    </row>
    <row r="68" spans="1:16" s="203" customFormat="1" ht="12" x14ac:dyDescent="0.2">
      <c r="A68" s="234"/>
      <c r="B68" s="236"/>
      <c r="C68" s="216" t="s">
        <v>105</v>
      </c>
      <c r="D68" s="217" t="s">
        <v>106</v>
      </c>
      <c r="E68" s="210"/>
      <c r="F68" s="210"/>
      <c r="G68" s="210"/>
      <c r="H68" s="210"/>
      <c r="I68" s="210"/>
    </row>
    <row r="69" spans="1:16" s="203" customFormat="1" ht="12" x14ac:dyDescent="0.2">
      <c r="A69" s="234"/>
      <c r="B69" s="234"/>
      <c r="C69" s="216" t="s">
        <v>103</v>
      </c>
      <c r="D69" s="217" t="s">
        <v>104</v>
      </c>
      <c r="E69" s="210"/>
      <c r="F69" s="210"/>
      <c r="G69" s="210"/>
      <c r="H69" s="210"/>
      <c r="I69" s="210"/>
    </row>
    <row r="70" spans="1:16" s="203" customFormat="1" ht="12" x14ac:dyDescent="0.2">
      <c r="A70" s="234"/>
      <c r="B70" s="234"/>
      <c r="C70" s="216"/>
      <c r="D70" s="217"/>
      <c r="E70" s="210"/>
      <c r="F70" s="210"/>
      <c r="G70" s="210"/>
      <c r="H70" s="210"/>
      <c r="I70" s="210"/>
    </row>
    <row r="71" spans="1:16" s="203" customFormat="1" ht="36" x14ac:dyDescent="0.2">
      <c r="A71" s="211"/>
      <c r="B71" s="211">
        <v>42</v>
      </c>
      <c r="C71" s="211"/>
      <c r="D71" s="227" t="s">
        <v>44</v>
      </c>
      <c r="E71" s="218">
        <v>534024.1</v>
      </c>
      <c r="F71" s="214">
        <f>39816.84+10617.82+42471.3+30526.25+66361.4+42471.3+26544.56+19908.42+132722.81+2389.01+5972.53</f>
        <v>419802.24</v>
      </c>
      <c r="G71" s="214">
        <v>652600</v>
      </c>
      <c r="H71" s="214">
        <f>33800+2000+408200+40000+6000+20000+3400</f>
        <v>513400</v>
      </c>
      <c r="I71" s="228">
        <f>1800+231000+101000+17000+70200</f>
        <v>421000</v>
      </c>
    </row>
    <row r="72" spans="1:16" s="203" customFormat="1" ht="12" x14ac:dyDescent="0.2">
      <c r="A72" s="211"/>
      <c r="B72" s="211"/>
      <c r="C72" s="216" t="s">
        <v>102</v>
      </c>
      <c r="D72" s="217" t="s">
        <v>18</v>
      </c>
      <c r="E72" s="218">
        <f>E71-E73-E74</f>
        <v>229152.21000000002</v>
      </c>
      <c r="F72" s="214">
        <f>32636.51+10617.82+42471.3+11945.06+1054.95+26544.56+5972.53+19908.42+2389.01</f>
        <v>153540.16000000003</v>
      </c>
      <c r="G72" s="214">
        <f>G71-G73-G74</f>
        <v>195600</v>
      </c>
      <c r="H72" s="214">
        <f>H71-H73-H74</f>
        <v>136106</v>
      </c>
      <c r="I72" s="228">
        <f>I71-I73-I74</f>
        <v>139296</v>
      </c>
    </row>
    <row r="73" spans="1:16" s="203" customFormat="1" ht="12" x14ac:dyDescent="0.2">
      <c r="A73" s="211"/>
      <c r="B73" s="211"/>
      <c r="C73" s="216" t="s">
        <v>105</v>
      </c>
      <c r="D73" s="217" t="s">
        <v>106</v>
      </c>
      <c r="E73" s="218">
        <f>2130.58+13272.28+8998.61</f>
        <v>24401.47</v>
      </c>
      <c r="F73" s="214">
        <f>1599.51</f>
        <v>1599.51</v>
      </c>
      <c r="G73" s="214">
        <f>12000</f>
        <v>12000</v>
      </c>
      <c r="H73" s="214"/>
      <c r="I73" s="228"/>
    </row>
    <row r="74" spans="1:16" s="203" customFormat="1" ht="12" x14ac:dyDescent="0.2">
      <c r="A74" s="229"/>
      <c r="B74" s="229"/>
      <c r="C74" s="216" t="s">
        <v>103</v>
      </c>
      <c r="D74" s="217" t="s">
        <v>104</v>
      </c>
      <c r="E74" s="218">
        <f>5261.69+15926.74+746.57+18581.19+331.81+4404.7+228442.5+968.6+5806.62</f>
        <v>280470.42</v>
      </c>
      <c r="F74" s="214">
        <f>18581.19+66361.4+39816.84+132722.81+7180.33</f>
        <v>264662.57</v>
      </c>
      <c r="G74" s="214">
        <f>30000+50000+230000+35000+100000</f>
        <v>445000</v>
      </c>
      <c r="H74" s="214">
        <f>351294+6000+20000</f>
        <v>377294</v>
      </c>
      <c r="I74" s="228">
        <f>201704+80000</f>
        <v>281704</v>
      </c>
    </row>
    <row r="75" spans="1:16" s="203" customFormat="1" ht="12" x14ac:dyDescent="0.2">
      <c r="A75" s="229"/>
      <c r="B75" s="229"/>
      <c r="C75" s="216"/>
      <c r="D75" s="217"/>
      <c r="E75" s="218"/>
      <c r="F75" s="214"/>
      <c r="G75" s="214"/>
      <c r="H75" s="214"/>
      <c r="I75" s="214"/>
    </row>
    <row r="76" spans="1:16" s="203" customFormat="1" ht="24" x14ac:dyDescent="0.2">
      <c r="A76" s="211"/>
      <c r="B76" s="211">
        <v>45</v>
      </c>
      <c r="C76" s="211"/>
      <c r="D76" s="227" t="s">
        <v>56</v>
      </c>
      <c r="E76" s="218">
        <v>44250.36</v>
      </c>
      <c r="F76" s="214">
        <f>39816.84+16590.35+19908.42+39816.84+13272.28</f>
        <v>129404.72999999998</v>
      </c>
      <c r="G76" s="214">
        <v>112000</v>
      </c>
      <c r="H76" s="214">
        <f>21800+66600</f>
        <v>88400</v>
      </c>
      <c r="I76" s="228">
        <f>250000+200000+50000</f>
        <v>500000</v>
      </c>
    </row>
    <row r="77" spans="1:16" s="203" customFormat="1" ht="12" x14ac:dyDescent="0.2">
      <c r="A77" s="229"/>
      <c r="B77" s="229"/>
      <c r="C77" s="216" t="s">
        <v>102</v>
      </c>
      <c r="D77" s="217" t="s">
        <v>18</v>
      </c>
      <c r="E77" s="218">
        <f>E76-E79</f>
        <v>32305.31</v>
      </c>
      <c r="F77" s="214">
        <f>272.28+4645.3-1327.23+12608.67+39816.84</f>
        <v>56015.86</v>
      </c>
      <c r="G77" s="214">
        <f>G76-G78-G79</f>
        <v>75000</v>
      </c>
      <c r="H77" s="214"/>
      <c r="I77" s="228">
        <f>I76-I79</f>
        <v>110000</v>
      </c>
    </row>
    <row r="78" spans="1:16" s="203" customFormat="1" ht="12" x14ac:dyDescent="0.2">
      <c r="A78" s="238"/>
      <c r="B78" s="238"/>
      <c r="C78" s="216" t="s">
        <v>105</v>
      </c>
      <c r="D78" s="217" t="s">
        <v>106</v>
      </c>
      <c r="E78" s="239"/>
      <c r="F78" s="239">
        <f>13000</f>
        <v>13000</v>
      </c>
      <c r="G78" s="239"/>
      <c r="H78" s="239"/>
      <c r="I78" s="239"/>
    </row>
    <row r="79" spans="1:16" s="203" customFormat="1" ht="12" x14ac:dyDescent="0.2">
      <c r="A79" s="238"/>
      <c r="B79" s="238"/>
      <c r="C79" s="216" t="s">
        <v>103</v>
      </c>
      <c r="D79" s="217" t="s">
        <v>104</v>
      </c>
      <c r="E79" s="239">
        <f>11945.05</f>
        <v>11945.05</v>
      </c>
      <c r="F79" s="239">
        <f>26544.56+13272.28+7299.75+13272.28</f>
        <v>60388.87</v>
      </c>
      <c r="G79" s="239">
        <f>12000+25000</f>
        <v>37000</v>
      </c>
      <c r="H79" s="239">
        <f>66600+21800</f>
        <v>88400</v>
      </c>
      <c r="I79" s="239">
        <f>50000+90000+250000</f>
        <v>390000</v>
      </c>
    </row>
    <row r="80" spans="1:16" s="203" customFormat="1" ht="12" x14ac:dyDescent="0.2"/>
    <row r="81" s="203" customFormat="1" ht="12" x14ac:dyDescent="0.2"/>
  </sheetData>
  <mergeCells count="5">
    <mergeCell ref="A1:I1"/>
    <mergeCell ref="A3:I3"/>
    <mergeCell ref="A5:I5"/>
    <mergeCell ref="A7:I7"/>
    <mergeCell ref="A37:I37"/>
  </mergeCells>
  <pageMargins left="1.1023622047244095" right="0.1968503937007874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opLeftCell="A28" zoomScaleNormal="100" workbookViewId="0">
      <selection activeCell="J12" sqref="J12"/>
    </sheetView>
  </sheetViews>
  <sheetFormatPr defaultRowHeight="15" x14ac:dyDescent="0.25"/>
  <cols>
    <col min="1" max="1" width="37.7109375" style="124" customWidth="1"/>
    <col min="2" max="6" width="18.7109375" customWidth="1"/>
  </cols>
  <sheetData>
    <row r="1" spans="1:12" ht="42" customHeight="1" x14ac:dyDescent="0.25">
      <c r="A1" s="257" t="s">
        <v>107</v>
      </c>
      <c r="B1" s="257"/>
      <c r="C1" s="257"/>
      <c r="D1" s="257"/>
      <c r="E1" s="257"/>
      <c r="F1" s="257"/>
      <c r="G1" s="30"/>
      <c r="H1" s="30"/>
      <c r="I1" s="30"/>
      <c r="J1" s="30"/>
      <c r="K1" s="30"/>
      <c r="L1" s="30"/>
    </row>
    <row r="2" spans="1:12" ht="18" customHeight="1" x14ac:dyDescent="0.25">
      <c r="A2" s="194"/>
      <c r="B2" s="5"/>
      <c r="C2" s="5"/>
      <c r="D2" s="5"/>
      <c r="E2" s="5"/>
      <c r="F2" s="5"/>
    </row>
    <row r="3" spans="1:12" ht="15.75" x14ac:dyDescent="0.25">
      <c r="A3" s="257" t="s">
        <v>34</v>
      </c>
      <c r="B3" s="257"/>
      <c r="C3" s="257"/>
      <c r="D3" s="257"/>
      <c r="E3" s="266"/>
      <c r="F3" s="266"/>
    </row>
    <row r="4" spans="1:12" ht="18" x14ac:dyDescent="0.25">
      <c r="A4" s="194"/>
      <c r="B4" s="5"/>
      <c r="C4" s="5"/>
      <c r="D4" s="5"/>
      <c r="E4" s="6"/>
      <c r="F4" s="6"/>
    </row>
    <row r="5" spans="1:12" ht="18" customHeight="1" x14ac:dyDescent="0.25">
      <c r="A5" s="257" t="s">
        <v>12</v>
      </c>
      <c r="B5" s="258"/>
      <c r="C5" s="258"/>
      <c r="D5" s="258"/>
      <c r="E5" s="258"/>
      <c r="F5" s="258"/>
    </row>
    <row r="6" spans="1:12" ht="18" x14ac:dyDescent="0.25">
      <c r="A6" s="194"/>
      <c r="B6" s="5"/>
      <c r="C6" s="5"/>
      <c r="D6" s="5"/>
      <c r="E6" s="6"/>
      <c r="F6" s="6"/>
    </row>
    <row r="7" spans="1:12" ht="15.75" x14ac:dyDescent="0.25">
      <c r="A7" s="257" t="s">
        <v>26</v>
      </c>
      <c r="B7" s="275"/>
      <c r="C7" s="275"/>
      <c r="D7" s="275"/>
      <c r="E7" s="275"/>
      <c r="F7" s="275"/>
    </row>
    <row r="8" spans="1:12" ht="18" x14ac:dyDescent="0.25">
      <c r="A8" s="194"/>
      <c r="B8" s="5"/>
      <c r="C8" s="5"/>
      <c r="D8" s="5"/>
      <c r="E8" s="6"/>
      <c r="F8" s="6"/>
    </row>
    <row r="9" spans="1:12" s="241" customFormat="1" ht="24" x14ac:dyDescent="0.2">
      <c r="A9" s="240" t="s">
        <v>27</v>
      </c>
      <c r="B9" s="202" t="s">
        <v>122</v>
      </c>
      <c r="C9" s="201" t="s">
        <v>114</v>
      </c>
      <c r="D9" s="201" t="s">
        <v>111</v>
      </c>
      <c r="E9" s="201" t="s">
        <v>10</v>
      </c>
      <c r="F9" s="201" t="s">
        <v>112</v>
      </c>
    </row>
    <row r="10" spans="1:12" s="241" customFormat="1" ht="27.75" customHeight="1" x14ac:dyDescent="0.2">
      <c r="A10" s="208" t="s">
        <v>28</v>
      </c>
      <c r="B10" s="226">
        <f>B11+B16+B14+B18+B22+B25+B32+B37+B42+B30</f>
        <v>1418761.39</v>
      </c>
      <c r="C10" s="210">
        <f>C11+C16+C14+C18+C22+C25+C32+C37+C42+C30</f>
        <v>1572634.55</v>
      </c>
      <c r="D10" s="210">
        <f>SUM(D11:D50)</f>
        <v>2025661</v>
      </c>
      <c r="E10" s="210">
        <f t="shared" ref="E10:F10" si="0">SUM(E11:E50)</f>
        <v>1710080</v>
      </c>
      <c r="F10" s="210">
        <f t="shared" si="0"/>
        <v>1805100</v>
      </c>
    </row>
    <row r="11" spans="1:12" s="241" customFormat="1" ht="15.75" customHeight="1" x14ac:dyDescent="0.2">
      <c r="A11" s="208" t="s">
        <v>29</v>
      </c>
      <c r="B11" s="213">
        <v>265857.98</v>
      </c>
      <c r="C11" s="214">
        <f>54973.82+289908.41+1327.23+19908.42</f>
        <v>366117.87999999995</v>
      </c>
      <c r="D11" s="214"/>
      <c r="E11" s="214"/>
      <c r="F11" s="214"/>
    </row>
    <row r="12" spans="1:12" s="241" customFormat="1" ht="15.75" customHeight="1" x14ac:dyDescent="0.2">
      <c r="A12" s="212" t="s">
        <v>129</v>
      </c>
      <c r="B12" s="213"/>
      <c r="C12" s="214"/>
      <c r="D12" s="214">
        <f>43710+5800</f>
        <v>49510</v>
      </c>
      <c r="E12" s="214">
        <f>45999+5900</f>
        <v>51899</v>
      </c>
      <c r="F12" s="214">
        <f>42000+4500</f>
        <v>46500</v>
      </c>
    </row>
    <row r="13" spans="1:12" s="241" customFormat="1" ht="20.25" customHeight="1" x14ac:dyDescent="0.2">
      <c r="A13" s="212" t="s">
        <v>130</v>
      </c>
      <c r="B13" s="213"/>
      <c r="C13" s="214"/>
      <c r="D13" s="214">
        <f>22000+211476+4200+20000+20000+14500</f>
        <v>292176</v>
      </c>
      <c r="E13" s="214">
        <f>9000+211321+3700+33800+2000</f>
        <v>259821</v>
      </c>
      <c r="F13" s="214">
        <f>205790+3700+70200+17000</f>
        <v>296690</v>
      </c>
    </row>
    <row r="14" spans="1:12" s="241" customFormat="1" ht="15.75" customHeight="1" x14ac:dyDescent="0.2">
      <c r="A14" s="208" t="s">
        <v>60</v>
      </c>
      <c r="B14" s="213"/>
      <c r="C14" s="214"/>
      <c r="D14" s="214"/>
      <c r="E14" s="214"/>
      <c r="F14" s="214"/>
    </row>
    <row r="15" spans="1:12" s="241" customFormat="1" ht="15.75" customHeight="1" x14ac:dyDescent="0.2">
      <c r="A15" s="212" t="s">
        <v>277</v>
      </c>
      <c r="B15" s="213"/>
      <c r="C15" s="214"/>
      <c r="D15" s="214">
        <f>3500</f>
        <v>3500</v>
      </c>
      <c r="E15" s="214">
        <v>3000</v>
      </c>
      <c r="F15" s="214">
        <v>2000</v>
      </c>
    </row>
    <row r="16" spans="1:12" s="241" customFormat="1" ht="12" x14ac:dyDescent="0.2">
      <c r="A16" s="208" t="s">
        <v>57</v>
      </c>
      <c r="B16" s="213">
        <v>30068.23</v>
      </c>
      <c r="C16" s="214">
        <v>30791.69</v>
      </c>
      <c r="D16" s="214"/>
      <c r="E16" s="214"/>
      <c r="F16" s="228"/>
    </row>
    <row r="17" spans="1:6" s="241" customFormat="1" ht="12" x14ac:dyDescent="0.2">
      <c r="A17" s="212" t="s">
        <v>276</v>
      </c>
      <c r="B17" s="213"/>
      <c r="C17" s="214"/>
      <c r="D17" s="214">
        <f>34000</f>
        <v>34000</v>
      </c>
      <c r="E17" s="214">
        <f>32000</f>
        <v>32000</v>
      </c>
      <c r="F17" s="228">
        <f>31000</f>
        <v>31000</v>
      </c>
    </row>
    <row r="18" spans="1:6" s="241" customFormat="1" ht="12" x14ac:dyDescent="0.2">
      <c r="A18" s="208" t="s">
        <v>30</v>
      </c>
      <c r="B18" s="213">
        <v>18147.07</v>
      </c>
      <c r="C18" s="214">
        <f>27739.06</f>
        <v>27739.06</v>
      </c>
      <c r="D18" s="214"/>
      <c r="E18" s="214"/>
      <c r="F18" s="228"/>
    </row>
    <row r="19" spans="1:6" s="241" customFormat="1" ht="24" x14ac:dyDescent="0.2">
      <c r="A19" s="212" t="s">
        <v>132</v>
      </c>
      <c r="B19" s="213"/>
      <c r="C19" s="214"/>
      <c r="D19" s="214">
        <f>5000</f>
        <v>5000</v>
      </c>
      <c r="E19" s="214">
        <f>5000</f>
        <v>5000</v>
      </c>
      <c r="F19" s="228">
        <f>1000</f>
        <v>1000</v>
      </c>
    </row>
    <row r="20" spans="1:6" s="241" customFormat="1" ht="12" x14ac:dyDescent="0.2">
      <c r="A20" s="242" t="s">
        <v>131</v>
      </c>
      <c r="B20" s="213"/>
      <c r="C20" s="214"/>
      <c r="D20" s="214">
        <f>23192</f>
        <v>23192</v>
      </c>
      <c r="E20" s="214">
        <f>21200</f>
        <v>21200</v>
      </c>
      <c r="F20" s="228">
        <f>14000</f>
        <v>14000</v>
      </c>
    </row>
    <row r="21" spans="1:6" s="241" customFormat="1" ht="12" x14ac:dyDescent="0.2">
      <c r="A21" s="212" t="s">
        <v>267</v>
      </c>
      <c r="B21" s="213"/>
      <c r="C21" s="214"/>
      <c r="D21" s="214">
        <f>20000</f>
        <v>20000</v>
      </c>
      <c r="E21" s="214"/>
      <c r="F21" s="228"/>
    </row>
    <row r="22" spans="1:6" s="241" customFormat="1" ht="12" x14ac:dyDescent="0.2">
      <c r="A22" s="208" t="s">
        <v>58</v>
      </c>
      <c r="B22" s="243">
        <v>275832.01</v>
      </c>
      <c r="C22" s="243">
        <f>27340.9+9954.21</f>
        <v>37295.11</v>
      </c>
      <c r="D22" s="243"/>
      <c r="E22" s="243"/>
      <c r="F22" s="243"/>
    </row>
    <row r="23" spans="1:6" s="241" customFormat="1" ht="12" x14ac:dyDescent="0.2">
      <c r="A23" s="212" t="s">
        <v>274</v>
      </c>
      <c r="B23" s="243"/>
      <c r="C23" s="243"/>
      <c r="D23" s="243">
        <f>9600</f>
        <v>9600</v>
      </c>
      <c r="E23" s="243">
        <f>9000</f>
        <v>9000</v>
      </c>
      <c r="F23" s="243">
        <f>5000</f>
        <v>5000</v>
      </c>
    </row>
    <row r="24" spans="1:6" s="241" customFormat="1" ht="24" x14ac:dyDescent="0.2">
      <c r="A24" s="212" t="s">
        <v>271</v>
      </c>
      <c r="B24" s="243"/>
      <c r="C24" s="243"/>
      <c r="D24" s="243">
        <f>3000+16540+1100</f>
        <v>20640</v>
      </c>
      <c r="E24" s="243">
        <f>3500+16400+6000</f>
        <v>25900</v>
      </c>
      <c r="F24" s="243">
        <f>2500+12100</f>
        <v>14600</v>
      </c>
    </row>
    <row r="25" spans="1:6" s="241" customFormat="1" ht="24" x14ac:dyDescent="0.2">
      <c r="A25" s="208" t="s">
        <v>59</v>
      </c>
      <c r="B25" s="243">
        <v>452134.59</v>
      </c>
      <c r="C25" s="243">
        <f>762757.98-27340.9-9954.21-152631.23-19908.42</f>
        <v>552923.22</v>
      </c>
      <c r="D25" s="243"/>
      <c r="E25" s="243"/>
      <c r="F25" s="243"/>
    </row>
    <row r="26" spans="1:6" s="241" customFormat="1" ht="12" x14ac:dyDescent="0.2">
      <c r="A26" s="212" t="s">
        <v>270</v>
      </c>
      <c r="B26" s="243"/>
      <c r="C26" s="243"/>
      <c r="D26" s="243">
        <f>163000+31500+1000+12000+800+25000+30000+60000+90000+230000+70000+35000+13500+8000+35000+10000+112000</f>
        <v>926800</v>
      </c>
      <c r="E26" s="243">
        <f>141000+36600+1000+10000+1000+66600+408200+1500+6100+21800+21000</f>
        <v>714800</v>
      </c>
      <c r="F26" s="243">
        <f>45400+20000+500+5000+600+101000+231000+252000+200000+50000</f>
        <v>905500</v>
      </c>
    </row>
    <row r="27" spans="1:6" s="241" customFormat="1" ht="12" x14ac:dyDescent="0.2">
      <c r="A27" s="212" t="s">
        <v>273</v>
      </c>
      <c r="B27" s="243"/>
      <c r="C27" s="243"/>
      <c r="D27" s="243">
        <f>30000</f>
        <v>30000</v>
      </c>
      <c r="E27" s="243">
        <f>40000</f>
        <v>40000</v>
      </c>
      <c r="F27" s="243"/>
    </row>
    <row r="28" spans="1:6" s="241" customFormat="1" ht="12" x14ac:dyDescent="0.2">
      <c r="A28" s="212" t="s">
        <v>272</v>
      </c>
      <c r="B28" s="243"/>
      <c r="C28" s="243"/>
      <c r="D28" s="243">
        <f>22000</f>
        <v>22000</v>
      </c>
      <c r="E28" s="243">
        <f>23000</f>
        <v>23000</v>
      </c>
      <c r="F28" s="243">
        <f>19000</f>
        <v>19000</v>
      </c>
    </row>
    <row r="29" spans="1:6" s="241" customFormat="1" ht="24" x14ac:dyDescent="0.2">
      <c r="A29" s="212" t="s">
        <v>275</v>
      </c>
      <c r="B29" s="243"/>
      <c r="C29" s="243"/>
      <c r="D29" s="243">
        <f>14600</f>
        <v>14600</v>
      </c>
      <c r="E29" s="243">
        <f>14700</f>
        <v>14700</v>
      </c>
      <c r="F29" s="243">
        <f>11200</f>
        <v>11200</v>
      </c>
    </row>
    <row r="30" spans="1:6" s="241" customFormat="1" ht="12" x14ac:dyDescent="0.2">
      <c r="A30" s="208" t="s">
        <v>61</v>
      </c>
      <c r="B30" s="243">
        <v>9908.1299999999992</v>
      </c>
      <c r="C30" s="243">
        <v>21899.26</v>
      </c>
      <c r="D30" s="243"/>
      <c r="E30" s="243"/>
      <c r="F30" s="243"/>
    </row>
    <row r="31" spans="1:6" s="241" customFormat="1" ht="12" x14ac:dyDescent="0.2">
      <c r="A31" s="212" t="s">
        <v>284</v>
      </c>
      <c r="B31" s="243"/>
      <c r="C31" s="243"/>
      <c r="D31" s="243">
        <v>20612</v>
      </c>
      <c r="E31" s="243">
        <v>21000</v>
      </c>
      <c r="F31" s="243">
        <v>5000</v>
      </c>
    </row>
    <row r="32" spans="1:6" s="241" customFormat="1" ht="12" x14ac:dyDescent="0.2">
      <c r="A32" s="208" t="s">
        <v>62</v>
      </c>
      <c r="B32" s="243">
        <v>110894.15</v>
      </c>
      <c r="C32" s="243">
        <f>152631.23+70343.09</f>
        <v>222974.32</v>
      </c>
      <c r="D32" s="243"/>
      <c r="E32" s="243"/>
      <c r="F32" s="243"/>
    </row>
    <row r="33" spans="1:6" s="241" customFormat="1" ht="12" x14ac:dyDescent="0.2">
      <c r="A33" s="212" t="s">
        <v>278</v>
      </c>
      <c r="B33" s="243"/>
      <c r="C33" s="243"/>
      <c r="D33" s="243">
        <f>55000</f>
        <v>55000</v>
      </c>
      <c r="E33" s="243">
        <f>25000</f>
        <v>25000</v>
      </c>
      <c r="F33" s="243">
        <f>20000</f>
        <v>20000</v>
      </c>
    </row>
    <row r="34" spans="1:6" s="241" customFormat="1" ht="12" x14ac:dyDescent="0.2">
      <c r="A34" s="212" t="s">
        <v>279</v>
      </c>
      <c r="B34" s="243"/>
      <c r="C34" s="243"/>
      <c r="D34" s="243">
        <f>4000</f>
        <v>4000</v>
      </c>
      <c r="E34" s="243">
        <v>4000</v>
      </c>
      <c r="F34" s="243">
        <v>2000</v>
      </c>
    </row>
    <row r="35" spans="1:6" s="241" customFormat="1" ht="12" x14ac:dyDescent="0.2">
      <c r="A35" s="212" t="s">
        <v>280</v>
      </c>
      <c r="B35" s="243"/>
      <c r="C35" s="243"/>
      <c r="D35" s="243">
        <f>35000</f>
        <v>35000</v>
      </c>
      <c r="E35" s="243">
        <v>1000</v>
      </c>
      <c r="F35" s="243">
        <v>1000</v>
      </c>
    </row>
    <row r="36" spans="1:6" s="241" customFormat="1" ht="24" x14ac:dyDescent="0.2">
      <c r="A36" s="212" t="s">
        <v>285</v>
      </c>
      <c r="B36" s="243"/>
      <c r="C36" s="243"/>
      <c r="D36" s="243">
        <v>12000</v>
      </c>
      <c r="E36" s="243">
        <v>11000</v>
      </c>
      <c r="F36" s="243">
        <v>5000</v>
      </c>
    </row>
    <row r="37" spans="1:6" s="241" customFormat="1" ht="12" x14ac:dyDescent="0.2">
      <c r="A37" s="208" t="s">
        <v>63</v>
      </c>
      <c r="B37" s="243">
        <f t="shared" ref="B37:C37" si="1">B38+B39+B40+B41</f>
        <v>184845.99</v>
      </c>
      <c r="C37" s="243">
        <f t="shared" si="1"/>
        <v>227447.08000000002</v>
      </c>
      <c r="D37" s="243"/>
      <c r="E37" s="243"/>
      <c r="F37" s="243"/>
    </row>
    <row r="38" spans="1:6" s="241" customFormat="1" ht="12" x14ac:dyDescent="0.2">
      <c r="A38" s="212" t="s">
        <v>64</v>
      </c>
      <c r="B38" s="243">
        <v>172642.14</v>
      </c>
      <c r="C38" s="243">
        <v>208865.88</v>
      </c>
      <c r="D38" s="243">
        <v>268381</v>
      </c>
      <c r="E38" s="243">
        <v>271350</v>
      </c>
      <c r="F38" s="243">
        <v>271800</v>
      </c>
    </row>
    <row r="39" spans="1:6" s="241" customFormat="1" ht="12" x14ac:dyDescent="0.2">
      <c r="A39" s="244" t="s">
        <v>65</v>
      </c>
      <c r="B39" s="243">
        <v>5176.1899999999996</v>
      </c>
      <c r="C39" s="243">
        <v>3981.69</v>
      </c>
      <c r="D39" s="243">
        <f>6000+4000</f>
        <v>10000</v>
      </c>
      <c r="E39" s="243">
        <f>6000+4000</f>
        <v>10000</v>
      </c>
      <c r="F39" s="243">
        <f>4000+3500</f>
        <v>7500</v>
      </c>
    </row>
    <row r="40" spans="1:6" s="241" customFormat="1" ht="12" x14ac:dyDescent="0.2">
      <c r="A40" s="212" t="s">
        <v>66</v>
      </c>
      <c r="B40" s="243">
        <v>3417.61</v>
      </c>
      <c r="C40" s="243">
        <v>3318.07</v>
      </c>
      <c r="D40" s="243">
        <v>3500</v>
      </c>
      <c r="E40" s="243">
        <v>3500</v>
      </c>
      <c r="F40" s="243">
        <v>3000</v>
      </c>
    </row>
    <row r="41" spans="1:6" s="241" customFormat="1" ht="12" x14ac:dyDescent="0.2">
      <c r="A41" s="212" t="s">
        <v>67</v>
      </c>
      <c r="B41" s="243">
        <v>3610.05</v>
      </c>
      <c r="C41" s="243">
        <v>11281.44</v>
      </c>
      <c r="D41" s="243">
        <v>10000</v>
      </c>
      <c r="E41" s="243">
        <v>10000</v>
      </c>
      <c r="F41" s="243">
        <v>7000</v>
      </c>
    </row>
    <row r="42" spans="1:6" s="241" customFormat="1" ht="12" x14ac:dyDescent="0.2">
      <c r="A42" s="208" t="s">
        <v>68</v>
      </c>
      <c r="B42" s="243">
        <v>71073.240000000005</v>
      </c>
      <c r="C42" s="243">
        <f>107346.19-21899.26</f>
        <v>85446.930000000008</v>
      </c>
      <c r="D42" s="243"/>
      <c r="E42" s="243"/>
      <c r="F42" s="243"/>
    </row>
    <row r="43" spans="1:6" s="241" customFormat="1" ht="12" x14ac:dyDescent="0.2">
      <c r="A43" s="212" t="s">
        <v>282</v>
      </c>
      <c r="B43" s="243"/>
      <c r="C43" s="243"/>
      <c r="D43" s="243">
        <f>86560</f>
        <v>86560</v>
      </c>
      <c r="E43" s="243">
        <v>86560</v>
      </c>
      <c r="F43" s="243">
        <v>86560</v>
      </c>
    </row>
    <row r="44" spans="1:6" s="241" customFormat="1" ht="12" x14ac:dyDescent="0.2">
      <c r="A44" s="212" t="s">
        <v>281</v>
      </c>
      <c r="B44" s="243"/>
      <c r="C44" s="243"/>
      <c r="D44" s="243">
        <f>54500+2000</f>
        <v>56500</v>
      </c>
      <c r="E44" s="243">
        <f>51000+2000</f>
        <v>53000</v>
      </c>
      <c r="F44" s="243">
        <f>36000+1000</f>
        <v>37000</v>
      </c>
    </row>
    <row r="45" spans="1:6" s="241" customFormat="1" ht="12" x14ac:dyDescent="0.2">
      <c r="A45" s="212" t="s">
        <v>268</v>
      </c>
      <c r="B45" s="243"/>
      <c r="C45" s="243"/>
      <c r="D45" s="243">
        <f>11990</f>
        <v>11990</v>
      </c>
      <c r="E45" s="243">
        <f>12250</f>
        <v>12250</v>
      </c>
      <c r="F45" s="243">
        <f>12250</f>
        <v>12250</v>
      </c>
    </row>
    <row r="46" spans="1:6" s="241" customFormat="1" ht="27" customHeight="1" x14ac:dyDescent="0.2">
      <c r="A46" s="245" t="s">
        <v>283</v>
      </c>
      <c r="B46" s="243"/>
      <c r="C46" s="243"/>
      <c r="D46" s="243">
        <v>1100</v>
      </c>
      <c r="E46" s="243">
        <v>1100</v>
      </c>
      <c r="F46" s="243">
        <v>500</v>
      </c>
    </row>
    <row r="47" spans="1:6" s="241" customFormat="1" ht="12" x14ac:dyDescent="0.2">
      <c r="A47" s="230"/>
      <c r="B47" s="246"/>
      <c r="C47" s="246"/>
      <c r="D47" s="246"/>
      <c r="E47" s="246"/>
      <c r="F47" s="246"/>
    </row>
    <row r="48" spans="1:6" s="241" customFormat="1" ht="12" x14ac:dyDescent="0.2">
      <c r="A48" s="230"/>
      <c r="B48" s="246"/>
      <c r="C48" s="246"/>
      <c r="D48" s="247"/>
      <c r="E48" s="246"/>
      <c r="F48" s="246"/>
    </row>
  </sheetData>
  <mergeCells count="4">
    <mergeCell ref="A3:F3"/>
    <mergeCell ref="A5:F5"/>
    <mergeCell ref="A7:F7"/>
    <mergeCell ref="A1:F1"/>
  </mergeCells>
  <pageMargins left="1.299212598425197" right="0.31496062992125984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workbookViewId="0">
      <selection activeCell="F24" sqref="F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2" ht="42" customHeight="1" x14ac:dyDescent="0.25">
      <c r="A1" s="257" t="s">
        <v>107</v>
      </c>
      <c r="B1" s="257"/>
      <c r="C1" s="257"/>
      <c r="D1" s="257"/>
      <c r="E1" s="257"/>
      <c r="F1" s="257"/>
      <c r="G1" s="257"/>
      <c r="H1" s="257"/>
      <c r="I1" s="257"/>
      <c r="J1" s="30"/>
      <c r="K1" s="30"/>
      <c r="L1" s="30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2" ht="18" customHeight="1" x14ac:dyDescent="0.25">
      <c r="A3" s="276" t="s">
        <v>190</v>
      </c>
      <c r="B3" s="276"/>
      <c r="C3" s="276"/>
      <c r="D3" s="276"/>
      <c r="E3" s="276"/>
      <c r="F3" s="276"/>
      <c r="G3" s="276"/>
      <c r="H3" s="276"/>
      <c r="I3" s="276"/>
    </row>
    <row r="4" spans="1:12" ht="18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12" ht="15.75" x14ac:dyDescent="0.25">
      <c r="A5" s="257" t="s">
        <v>34</v>
      </c>
      <c r="B5" s="257"/>
      <c r="C5" s="257"/>
      <c r="D5" s="257"/>
      <c r="E5" s="257"/>
      <c r="F5" s="257"/>
      <c r="G5" s="257"/>
      <c r="H5" s="266"/>
      <c r="I5" s="266"/>
    </row>
    <row r="6" spans="1:12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2" ht="18" customHeight="1" x14ac:dyDescent="0.25">
      <c r="A7" s="257" t="s">
        <v>127</v>
      </c>
      <c r="B7" s="258"/>
      <c r="C7" s="258"/>
      <c r="D7" s="258"/>
      <c r="E7" s="258"/>
      <c r="F7" s="258"/>
      <c r="G7" s="258"/>
      <c r="H7" s="258"/>
      <c r="I7" s="258"/>
    </row>
    <row r="8" spans="1:12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2" ht="25.5" x14ac:dyDescent="0.25">
      <c r="A9" s="17" t="s">
        <v>13</v>
      </c>
      <c r="B9" s="16" t="s">
        <v>14</v>
      </c>
      <c r="C9" s="16" t="s">
        <v>15</v>
      </c>
      <c r="D9" s="16" t="s">
        <v>46</v>
      </c>
      <c r="E9" s="16" t="s">
        <v>122</v>
      </c>
      <c r="F9" s="17" t="s">
        <v>114</v>
      </c>
      <c r="G9" s="17" t="s">
        <v>111</v>
      </c>
      <c r="H9" s="17" t="s">
        <v>10</v>
      </c>
      <c r="I9" s="17" t="s">
        <v>112</v>
      </c>
    </row>
    <row r="10" spans="1:12" ht="25.5" x14ac:dyDescent="0.25">
      <c r="A10" s="10">
        <v>8</v>
      </c>
      <c r="B10" s="10"/>
      <c r="C10" s="10"/>
      <c r="D10" s="10" t="s">
        <v>31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</row>
    <row r="11" spans="1:12" x14ac:dyDescent="0.25">
      <c r="A11" s="10"/>
      <c r="B11" s="14">
        <v>84</v>
      </c>
      <c r="C11" s="14"/>
      <c r="D11" s="14" t="s">
        <v>38</v>
      </c>
      <c r="E11" s="35"/>
      <c r="F11" s="36"/>
      <c r="G11" s="36"/>
      <c r="H11" s="36"/>
      <c r="I11" s="36"/>
    </row>
    <row r="12" spans="1:12" ht="25.5" x14ac:dyDescent="0.25">
      <c r="A12" s="11"/>
      <c r="B12" s="11"/>
      <c r="C12" s="12">
        <v>81</v>
      </c>
      <c r="D12" s="15" t="s">
        <v>39</v>
      </c>
      <c r="E12" s="35"/>
      <c r="F12" s="36"/>
      <c r="G12" s="36"/>
      <c r="H12" s="36"/>
      <c r="I12" s="36"/>
    </row>
    <row r="13" spans="1:12" ht="25.5" x14ac:dyDescent="0.25">
      <c r="A13" s="13">
        <v>5</v>
      </c>
      <c r="B13" s="13"/>
      <c r="C13" s="13"/>
      <c r="D13" s="28" t="s">
        <v>32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</row>
    <row r="14" spans="1:12" ht="25.5" x14ac:dyDescent="0.25">
      <c r="A14" s="14"/>
      <c r="B14" s="14">
        <v>54</v>
      </c>
      <c r="C14" s="14"/>
      <c r="D14" s="29" t="s">
        <v>40</v>
      </c>
      <c r="E14" s="35"/>
      <c r="F14" s="36"/>
      <c r="G14" s="36"/>
      <c r="H14" s="36"/>
      <c r="I14" s="37"/>
    </row>
    <row r="15" spans="1:12" x14ac:dyDescent="0.25">
      <c r="A15" s="14"/>
      <c r="B15" s="14"/>
      <c r="C15" s="93" t="s">
        <v>102</v>
      </c>
      <c r="D15" s="94" t="s">
        <v>18</v>
      </c>
      <c r="E15" s="35"/>
      <c r="F15" s="36"/>
      <c r="G15" s="36"/>
      <c r="H15" s="36"/>
      <c r="I15" s="37"/>
    </row>
    <row r="16" spans="1:12" x14ac:dyDescent="0.25">
      <c r="A16" s="14"/>
      <c r="B16" s="14"/>
      <c r="C16" s="12">
        <v>31</v>
      </c>
      <c r="D16" s="12" t="s">
        <v>41</v>
      </c>
      <c r="E16" s="35"/>
      <c r="F16" s="36"/>
      <c r="G16" s="36"/>
      <c r="H16" s="36"/>
      <c r="I16" s="37"/>
    </row>
  </sheetData>
  <mergeCells count="4">
    <mergeCell ref="A5:I5"/>
    <mergeCell ref="A7:I7"/>
    <mergeCell ref="A1:I1"/>
    <mergeCell ref="A3:I3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E203D-5AA5-42DB-AC57-275128DB9C4C}">
  <dimension ref="A1:L14"/>
  <sheetViews>
    <sheetView workbookViewId="0">
      <selection activeCell="N10" sqref="N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9" width="16.7109375" customWidth="1"/>
  </cols>
  <sheetData>
    <row r="1" spans="1:12" ht="42" customHeight="1" x14ac:dyDescent="0.25">
      <c r="A1" s="257" t="s">
        <v>107</v>
      </c>
      <c r="B1" s="257"/>
      <c r="C1" s="257"/>
      <c r="D1" s="257"/>
      <c r="E1" s="257"/>
      <c r="F1" s="257"/>
      <c r="G1" s="257"/>
      <c r="H1" s="257"/>
      <c r="I1" s="257"/>
      <c r="J1" s="30"/>
      <c r="K1" s="30"/>
      <c r="L1" s="30"/>
    </row>
    <row r="2" spans="1:12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2" ht="15.75" x14ac:dyDescent="0.25">
      <c r="A3" s="257" t="s">
        <v>34</v>
      </c>
      <c r="B3" s="257"/>
      <c r="C3" s="257"/>
      <c r="D3" s="257"/>
      <c r="E3" s="257"/>
      <c r="F3" s="257"/>
      <c r="G3" s="257"/>
      <c r="H3" s="266"/>
      <c r="I3" s="266"/>
    </row>
    <row r="4" spans="1:12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2" ht="18" customHeight="1" x14ac:dyDescent="0.25">
      <c r="A5" s="257" t="s">
        <v>128</v>
      </c>
      <c r="B5" s="258"/>
      <c r="C5" s="258"/>
      <c r="D5" s="258"/>
      <c r="E5" s="258"/>
      <c r="F5" s="258"/>
      <c r="G5" s="258"/>
      <c r="H5" s="258"/>
      <c r="I5" s="258"/>
    </row>
    <row r="6" spans="1:12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2" ht="38.25" x14ac:dyDescent="0.25">
      <c r="A7" s="17" t="s">
        <v>13</v>
      </c>
      <c r="B7" s="16" t="s">
        <v>14</v>
      </c>
      <c r="C7" s="16" t="s">
        <v>15</v>
      </c>
      <c r="D7" s="16" t="s">
        <v>46</v>
      </c>
      <c r="E7" s="16" t="s">
        <v>122</v>
      </c>
      <c r="F7" s="17" t="s">
        <v>114</v>
      </c>
      <c r="G7" s="17" t="s">
        <v>111</v>
      </c>
      <c r="H7" s="17" t="s">
        <v>10</v>
      </c>
      <c r="I7" s="17" t="s">
        <v>112</v>
      </c>
    </row>
    <row r="8" spans="1:12" ht="25.5" x14ac:dyDescent="0.25">
      <c r="A8" s="10">
        <v>8</v>
      </c>
      <c r="B8" s="10"/>
      <c r="C8" s="10"/>
      <c r="D8" s="10" t="s">
        <v>31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</row>
    <row r="9" spans="1:12" x14ac:dyDescent="0.25">
      <c r="A9" s="10"/>
      <c r="B9" s="14">
        <v>84</v>
      </c>
      <c r="C9" s="14"/>
      <c r="D9" s="14" t="s">
        <v>38</v>
      </c>
      <c r="E9" s="35"/>
      <c r="F9" s="36"/>
      <c r="G9" s="36"/>
      <c r="H9" s="36"/>
      <c r="I9" s="36"/>
    </row>
    <row r="10" spans="1:12" ht="25.5" x14ac:dyDescent="0.25">
      <c r="A10" s="11"/>
      <c r="B10" s="11"/>
      <c r="C10" s="12">
        <v>81</v>
      </c>
      <c r="D10" s="15" t="s">
        <v>39</v>
      </c>
      <c r="E10" s="35"/>
      <c r="F10" s="36"/>
      <c r="G10" s="36"/>
      <c r="H10" s="36"/>
      <c r="I10" s="36"/>
    </row>
    <row r="11" spans="1:12" ht="25.5" x14ac:dyDescent="0.25">
      <c r="A11" s="13">
        <v>5</v>
      </c>
      <c r="B11" s="13"/>
      <c r="C11" s="13"/>
      <c r="D11" s="28" t="s">
        <v>32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</row>
    <row r="12" spans="1:12" ht="25.5" x14ac:dyDescent="0.25">
      <c r="A12" s="14"/>
      <c r="B12" s="14">
        <v>54</v>
      </c>
      <c r="C12" s="14"/>
      <c r="D12" s="29" t="s">
        <v>40</v>
      </c>
      <c r="E12" s="35"/>
      <c r="F12" s="36"/>
      <c r="G12" s="36"/>
      <c r="H12" s="36"/>
      <c r="I12" s="37"/>
    </row>
    <row r="13" spans="1:12" x14ac:dyDescent="0.25">
      <c r="A13" s="14"/>
      <c r="B13" s="14"/>
      <c r="C13" s="93" t="s">
        <v>102</v>
      </c>
      <c r="D13" s="94" t="s">
        <v>18</v>
      </c>
      <c r="E13" s="35"/>
      <c r="F13" s="36"/>
      <c r="G13" s="36"/>
      <c r="H13" s="36"/>
      <c r="I13" s="37"/>
    </row>
    <row r="14" spans="1:12" x14ac:dyDescent="0.25">
      <c r="A14" s="14"/>
      <c r="B14" s="14"/>
      <c r="C14" s="12">
        <v>31</v>
      </c>
      <c r="D14" s="12" t="s">
        <v>41</v>
      </c>
      <c r="E14" s="35"/>
      <c r="F14" s="36"/>
      <c r="G14" s="36"/>
      <c r="H14" s="36"/>
      <c r="I14" s="37"/>
    </row>
  </sheetData>
  <mergeCells count="3">
    <mergeCell ref="A1:I1"/>
    <mergeCell ref="A3:I3"/>
    <mergeCell ref="A5:I5"/>
  </mergeCells>
  <pageMargins left="1.299212598425197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1FA-7EF8-45CE-A253-6D1F15D7B2CB}">
  <dimension ref="A1:M12"/>
  <sheetViews>
    <sheetView workbookViewId="0">
      <selection activeCell="G26" sqref="G26"/>
    </sheetView>
  </sheetViews>
  <sheetFormatPr defaultRowHeight="15" x14ac:dyDescent="0.25"/>
  <cols>
    <col min="3" max="12" width="9.7109375" customWidth="1"/>
  </cols>
  <sheetData>
    <row r="1" spans="1:13" ht="42" customHeight="1" x14ac:dyDescent="0.25">
      <c r="A1" s="257" t="s">
        <v>107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</row>
    <row r="2" spans="1:13" ht="18" customHeight="1" x14ac:dyDescent="0.25">
      <c r="B2" s="5"/>
      <c r="C2" s="5"/>
      <c r="D2" s="5"/>
      <c r="E2" s="5"/>
      <c r="F2" s="5"/>
      <c r="G2" s="5"/>
      <c r="H2" s="5"/>
      <c r="I2" s="5"/>
      <c r="J2" s="5"/>
    </row>
    <row r="3" spans="1:13" ht="15.75" customHeight="1" x14ac:dyDescent="0.25">
      <c r="A3" s="257" t="s">
        <v>34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13" ht="18" x14ac:dyDescent="0.25">
      <c r="B4" s="5"/>
      <c r="C4" s="5"/>
      <c r="D4" s="5"/>
      <c r="E4" s="5"/>
      <c r="F4" s="5"/>
      <c r="G4" s="5"/>
      <c r="H4" s="5"/>
      <c r="I4" s="6"/>
      <c r="J4" s="6"/>
    </row>
    <row r="5" spans="1:13" ht="18" customHeight="1" x14ac:dyDescent="0.25">
      <c r="A5" s="257" t="s">
        <v>191</v>
      </c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1:13" ht="18" customHeight="1" x14ac:dyDescent="0.25">
      <c r="B6" s="30"/>
      <c r="C6" s="129"/>
      <c r="D6" s="129"/>
      <c r="E6" s="129"/>
      <c r="F6" s="129"/>
      <c r="G6" s="129"/>
      <c r="H6" s="129"/>
      <c r="I6" s="129"/>
      <c r="J6" s="129"/>
    </row>
    <row r="7" spans="1:13" ht="18" customHeight="1" x14ac:dyDescent="0.25">
      <c r="B7" s="30"/>
      <c r="C7" s="129"/>
      <c r="D7" s="129"/>
      <c r="E7" s="129"/>
      <c r="F7" s="129"/>
      <c r="G7" s="129"/>
      <c r="H7" s="129"/>
      <c r="I7" s="129"/>
      <c r="J7" s="129"/>
    </row>
    <row r="8" spans="1:13" x14ac:dyDescent="0.25">
      <c r="L8" t="s">
        <v>198</v>
      </c>
    </row>
    <row r="9" spans="1:13" x14ac:dyDescent="0.25">
      <c r="C9" s="179" t="s">
        <v>192</v>
      </c>
      <c r="D9" s="180"/>
      <c r="E9" s="180"/>
      <c r="F9" s="181"/>
      <c r="G9" s="278" t="s">
        <v>195</v>
      </c>
      <c r="H9" s="279"/>
      <c r="I9" s="278" t="s">
        <v>193</v>
      </c>
      <c r="J9" s="279"/>
      <c r="K9" s="278" t="s">
        <v>194</v>
      </c>
      <c r="L9" s="280"/>
    </row>
    <row r="10" spans="1:13" ht="28.5" customHeight="1" x14ac:dyDescent="0.25">
      <c r="C10" s="163" t="s">
        <v>209</v>
      </c>
      <c r="D10" s="164"/>
      <c r="E10" s="164"/>
      <c r="F10" s="165"/>
      <c r="G10" s="163"/>
      <c r="H10" s="164"/>
      <c r="I10" s="163"/>
      <c r="J10" s="164"/>
      <c r="K10" s="163"/>
      <c r="L10" s="165"/>
    </row>
    <row r="11" spans="1:13" s="107" customFormat="1" ht="39.75" customHeight="1" x14ac:dyDescent="0.25">
      <c r="C11" s="182">
        <v>9</v>
      </c>
      <c r="D11" s="183" t="s">
        <v>196</v>
      </c>
      <c r="E11" s="184"/>
      <c r="F11" s="185"/>
      <c r="G11" s="281">
        <f>G12</f>
        <v>320000</v>
      </c>
      <c r="H11" s="281"/>
      <c r="I11" s="281">
        <f t="shared" ref="I11" si="0">I12</f>
        <v>0</v>
      </c>
      <c r="J11" s="281"/>
      <c r="K11" s="281">
        <f t="shared" ref="K11" si="1">K12</f>
        <v>0</v>
      </c>
      <c r="L11" s="281"/>
    </row>
    <row r="12" spans="1:13" ht="39.75" customHeight="1" x14ac:dyDescent="0.25">
      <c r="C12" s="169">
        <v>92</v>
      </c>
      <c r="D12" s="166" t="s">
        <v>197</v>
      </c>
      <c r="E12" s="167"/>
      <c r="F12" s="168"/>
      <c r="G12" s="277">
        <v>320000</v>
      </c>
      <c r="H12" s="277"/>
      <c r="I12" s="277"/>
      <c r="J12" s="277"/>
      <c r="K12" s="277"/>
      <c r="L12" s="277"/>
    </row>
  </sheetData>
  <mergeCells count="12">
    <mergeCell ref="I12:J12"/>
    <mergeCell ref="K12:L12"/>
    <mergeCell ref="A1:M1"/>
    <mergeCell ref="A3:M3"/>
    <mergeCell ref="A5:M5"/>
    <mergeCell ref="G9:H9"/>
    <mergeCell ref="I9:J9"/>
    <mergeCell ref="K9:L9"/>
    <mergeCell ref="G11:H11"/>
    <mergeCell ref="I11:J11"/>
    <mergeCell ref="K11:L11"/>
    <mergeCell ref="G12:H12"/>
  </mergeCells>
  <pageMargins left="1.299212598425197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396"/>
  <sheetViews>
    <sheetView tabSelected="1" zoomScale="110" zoomScaleNormal="110" workbookViewId="0">
      <selection activeCell="F399" sqref="F399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30" customWidth="1"/>
    <col min="5" max="5" width="17" customWidth="1"/>
    <col min="6" max="7" width="15.140625" customWidth="1"/>
  </cols>
  <sheetData>
    <row r="2" spans="1:7" ht="42" customHeight="1" x14ac:dyDescent="0.25">
      <c r="A2" s="257" t="s">
        <v>107</v>
      </c>
      <c r="B2" s="257"/>
      <c r="C2" s="257"/>
      <c r="D2" s="257"/>
      <c r="E2" s="257"/>
      <c r="F2" s="257"/>
      <c r="G2" s="257"/>
    </row>
    <row r="3" spans="1:7" ht="18" x14ac:dyDescent="0.25">
      <c r="A3" s="5"/>
      <c r="B3" s="5"/>
      <c r="C3" s="5"/>
      <c r="D3" s="5"/>
      <c r="E3" s="5"/>
      <c r="F3" s="6"/>
      <c r="G3" s="6"/>
    </row>
    <row r="4" spans="1:7" ht="18" customHeight="1" x14ac:dyDescent="0.25">
      <c r="A4" s="257" t="s">
        <v>33</v>
      </c>
      <c r="B4" s="258"/>
      <c r="C4" s="258"/>
      <c r="D4" s="258"/>
      <c r="E4" s="258"/>
      <c r="F4" s="258"/>
      <c r="G4" s="258"/>
    </row>
    <row r="5" spans="1:7" ht="18" customHeight="1" x14ac:dyDescent="0.25">
      <c r="A5" s="30"/>
      <c r="B5" s="129"/>
      <c r="C5" s="129"/>
      <c r="D5" s="129"/>
      <c r="E5" s="129"/>
      <c r="F5" s="129"/>
      <c r="G5" s="129"/>
    </row>
    <row r="6" spans="1:7" ht="18" customHeight="1" x14ac:dyDescent="0.25">
      <c r="A6" s="257" t="s">
        <v>199</v>
      </c>
      <c r="B6" s="257"/>
      <c r="C6" s="257"/>
      <c r="D6" s="257"/>
      <c r="E6" s="257"/>
      <c r="F6" s="257"/>
      <c r="G6" s="257"/>
    </row>
    <row r="7" spans="1:7" s="110" customFormat="1" ht="18" customHeight="1" x14ac:dyDescent="0.2">
      <c r="A7" s="386" t="s">
        <v>201</v>
      </c>
      <c r="B7" s="386"/>
      <c r="C7" s="386"/>
      <c r="D7" s="386"/>
      <c r="E7" s="386"/>
      <c r="F7" s="386"/>
      <c r="G7" s="386"/>
    </row>
    <row r="8" spans="1:7" ht="18" customHeight="1" x14ac:dyDescent="0.25">
      <c r="A8" s="385" t="s">
        <v>200</v>
      </c>
      <c r="B8" s="385"/>
      <c r="C8" s="385"/>
      <c r="D8" s="385"/>
      <c r="E8" s="385"/>
      <c r="F8" s="385"/>
      <c r="G8" s="385"/>
    </row>
    <row r="9" spans="1:7" ht="18" customHeight="1" x14ac:dyDescent="0.25">
      <c r="B9" s="129"/>
      <c r="C9" s="129"/>
      <c r="D9" s="129"/>
      <c r="E9" s="129"/>
      <c r="F9" s="129"/>
      <c r="G9" s="129"/>
    </row>
    <row r="10" spans="1:7" ht="18" x14ac:dyDescent="0.25">
      <c r="A10" s="5"/>
      <c r="B10" s="5"/>
      <c r="C10" s="5"/>
      <c r="D10" s="5"/>
      <c r="E10" s="5"/>
      <c r="F10" s="6"/>
      <c r="G10" s="6"/>
    </row>
    <row r="11" spans="1:7" ht="38.25" x14ac:dyDescent="0.25">
      <c r="A11" s="371" t="s">
        <v>35</v>
      </c>
      <c r="B11" s="372"/>
      <c r="C11" s="373"/>
      <c r="D11" s="16" t="s">
        <v>36</v>
      </c>
      <c r="E11" s="17" t="s">
        <v>111</v>
      </c>
      <c r="F11" s="17" t="s">
        <v>10</v>
      </c>
      <c r="G11" s="17" t="s">
        <v>112</v>
      </c>
    </row>
    <row r="12" spans="1:7" s="170" customFormat="1" ht="19.5" customHeight="1" x14ac:dyDescent="0.25">
      <c r="A12" s="362" t="s">
        <v>101</v>
      </c>
      <c r="B12" s="363"/>
      <c r="C12" s="363"/>
      <c r="D12" s="364"/>
      <c r="E12" s="171">
        <f>E13+E34</f>
        <v>2025661</v>
      </c>
      <c r="F12" s="171">
        <f t="shared" ref="F12:G12" si="0">F13+F34</f>
        <v>1710080</v>
      </c>
      <c r="G12" s="171">
        <f t="shared" si="0"/>
        <v>1805100</v>
      </c>
    </row>
    <row r="13" spans="1:7" ht="15.75" customHeight="1" x14ac:dyDescent="0.25">
      <c r="A13" s="374" t="s">
        <v>69</v>
      </c>
      <c r="B13" s="374"/>
      <c r="C13" s="374"/>
      <c r="D13" s="374"/>
      <c r="E13" s="50">
        <f t="shared" ref="E13:G14" si="1">E14</f>
        <v>71510</v>
      </c>
      <c r="F13" s="50">
        <f>F14</f>
        <v>60899</v>
      </c>
      <c r="G13" s="50">
        <f t="shared" si="1"/>
        <v>46500</v>
      </c>
    </row>
    <row r="14" spans="1:7" ht="15.75" customHeight="1" x14ac:dyDescent="0.25">
      <c r="A14" s="375" t="s">
        <v>70</v>
      </c>
      <c r="B14" s="376"/>
      <c r="C14" s="376"/>
      <c r="D14" s="377"/>
      <c r="E14" s="88">
        <f>E15</f>
        <v>71510</v>
      </c>
      <c r="F14" s="88">
        <f t="shared" si="1"/>
        <v>60899</v>
      </c>
      <c r="G14" s="88">
        <f t="shared" si="1"/>
        <v>46500</v>
      </c>
    </row>
    <row r="15" spans="1:7" ht="15" customHeight="1" x14ac:dyDescent="0.25">
      <c r="A15" s="71" t="s">
        <v>133</v>
      </c>
      <c r="B15" s="71"/>
      <c r="C15" s="71"/>
      <c r="D15" s="71"/>
      <c r="E15" s="72">
        <f>E16+E29+E23</f>
        <v>71510</v>
      </c>
      <c r="F15" s="72">
        <f t="shared" ref="F15:G15" si="2">F16+F29+F23</f>
        <v>60899</v>
      </c>
      <c r="G15" s="72">
        <f t="shared" si="2"/>
        <v>46500</v>
      </c>
    </row>
    <row r="16" spans="1:7" ht="15" customHeight="1" x14ac:dyDescent="0.25">
      <c r="A16" s="297" t="s">
        <v>213</v>
      </c>
      <c r="B16" s="298"/>
      <c r="C16" s="298"/>
      <c r="D16" s="299"/>
      <c r="E16" s="58">
        <f t="shared" ref="E16:G16" si="3">E19</f>
        <v>43710</v>
      </c>
      <c r="F16" s="58">
        <f t="shared" si="3"/>
        <v>45999</v>
      </c>
      <c r="G16" s="58">
        <f t="shared" si="3"/>
        <v>42000</v>
      </c>
    </row>
    <row r="17" spans="1:7" ht="15" customHeight="1" x14ac:dyDescent="0.25">
      <c r="A17" s="145" t="s">
        <v>135</v>
      </c>
      <c r="B17" s="146"/>
      <c r="C17" s="146"/>
      <c r="D17" s="147"/>
      <c r="E17" s="148"/>
      <c r="F17" s="148"/>
      <c r="G17" s="148"/>
    </row>
    <row r="18" spans="1:7" ht="15" customHeight="1" x14ac:dyDescent="0.25">
      <c r="A18" s="300" t="s">
        <v>71</v>
      </c>
      <c r="B18" s="301"/>
      <c r="C18" s="301"/>
      <c r="D18" s="301"/>
      <c r="E18" s="48">
        <f t="shared" ref="E18:G18" si="4">E19</f>
        <v>43710</v>
      </c>
      <c r="F18" s="48">
        <f t="shared" si="4"/>
        <v>45999</v>
      </c>
      <c r="G18" s="48">
        <f t="shared" si="4"/>
        <v>42000</v>
      </c>
    </row>
    <row r="19" spans="1:7" x14ac:dyDescent="0.25">
      <c r="A19" s="285">
        <v>3</v>
      </c>
      <c r="B19" s="286"/>
      <c r="C19" s="287"/>
      <c r="D19" s="19" t="s">
        <v>20</v>
      </c>
      <c r="E19" s="35">
        <f t="shared" ref="E19:G19" si="5">E20+E21+E22</f>
        <v>43710</v>
      </c>
      <c r="F19" s="35">
        <f>F20+F21+F22</f>
        <v>45999</v>
      </c>
      <c r="G19" s="35">
        <f t="shared" si="5"/>
        <v>42000</v>
      </c>
    </row>
    <row r="20" spans="1:7" x14ac:dyDescent="0.25">
      <c r="A20" s="288">
        <v>31</v>
      </c>
      <c r="B20" s="289"/>
      <c r="C20" s="290"/>
      <c r="D20" s="19" t="s">
        <v>23</v>
      </c>
      <c r="E20" s="36">
        <v>29710</v>
      </c>
      <c r="F20" s="36">
        <v>31000</v>
      </c>
      <c r="G20" s="37">
        <v>31000</v>
      </c>
    </row>
    <row r="21" spans="1:7" x14ac:dyDescent="0.25">
      <c r="A21" s="302">
        <v>32</v>
      </c>
      <c r="B21" s="303"/>
      <c r="C21" s="304"/>
      <c r="D21" s="19" t="s">
        <v>37</v>
      </c>
      <c r="E21" s="36">
        <v>13000</v>
      </c>
      <c r="F21" s="36">
        <f>14000-1</f>
        <v>13999</v>
      </c>
      <c r="G21" s="36">
        <v>10000</v>
      </c>
    </row>
    <row r="22" spans="1:7" x14ac:dyDescent="0.25">
      <c r="A22" s="302">
        <v>38</v>
      </c>
      <c r="B22" s="303"/>
      <c r="C22" s="304"/>
      <c r="D22" s="19" t="s">
        <v>55</v>
      </c>
      <c r="E22" s="36">
        <v>1000</v>
      </c>
      <c r="F22" s="36">
        <v>1000</v>
      </c>
      <c r="G22" s="36">
        <v>1000</v>
      </c>
    </row>
    <row r="23" spans="1:7" ht="15" customHeight="1" x14ac:dyDescent="0.25">
      <c r="A23" s="297" t="s">
        <v>212</v>
      </c>
      <c r="B23" s="298"/>
      <c r="C23" s="298"/>
      <c r="D23" s="299"/>
      <c r="E23" s="70">
        <f t="shared" ref="E23:F23" si="6">E25</f>
        <v>5800</v>
      </c>
      <c r="F23" s="70">
        <f t="shared" si="6"/>
        <v>5900</v>
      </c>
      <c r="G23" s="70">
        <f>G25</f>
        <v>4500</v>
      </c>
    </row>
    <row r="24" spans="1:7" ht="15" customHeight="1" x14ac:dyDescent="0.25">
      <c r="A24" s="145" t="s">
        <v>135</v>
      </c>
      <c r="B24" s="146"/>
      <c r="C24" s="146"/>
      <c r="D24" s="147"/>
      <c r="E24" s="148"/>
      <c r="F24" s="148"/>
      <c r="G24" s="148"/>
    </row>
    <row r="25" spans="1:7" x14ac:dyDescent="0.25">
      <c r="A25" s="311" t="s">
        <v>72</v>
      </c>
      <c r="B25" s="312"/>
      <c r="C25" s="312"/>
      <c r="D25" s="312"/>
      <c r="E25" s="49">
        <f t="shared" ref="E25:G25" si="7">E26</f>
        <v>5800</v>
      </c>
      <c r="F25" s="49">
        <f t="shared" si="7"/>
        <v>5900</v>
      </c>
      <c r="G25" s="49">
        <f t="shared" si="7"/>
        <v>4500</v>
      </c>
    </row>
    <row r="26" spans="1:7" x14ac:dyDescent="0.25">
      <c r="A26" s="285">
        <v>3</v>
      </c>
      <c r="B26" s="286"/>
      <c r="C26" s="287"/>
      <c r="D26" s="19" t="s">
        <v>20</v>
      </c>
      <c r="E26" s="35">
        <f t="shared" ref="E26:G26" si="8">E27+E28</f>
        <v>5800</v>
      </c>
      <c r="F26" s="35">
        <f t="shared" si="8"/>
        <v>5900</v>
      </c>
      <c r="G26" s="35">
        <f t="shared" si="8"/>
        <v>4500</v>
      </c>
    </row>
    <row r="27" spans="1:7" x14ac:dyDescent="0.25">
      <c r="A27" s="302">
        <v>32</v>
      </c>
      <c r="B27" s="303"/>
      <c r="C27" s="304"/>
      <c r="D27" s="19" t="s">
        <v>37</v>
      </c>
      <c r="E27" s="36">
        <v>4150</v>
      </c>
      <c r="F27" s="36">
        <v>4200</v>
      </c>
      <c r="G27" s="37">
        <v>3000</v>
      </c>
    </row>
    <row r="28" spans="1:7" x14ac:dyDescent="0.25">
      <c r="A28" s="302">
        <v>38</v>
      </c>
      <c r="B28" s="303"/>
      <c r="C28" s="304"/>
      <c r="D28" s="19" t="s">
        <v>55</v>
      </c>
      <c r="E28" s="36">
        <v>1650</v>
      </c>
      <c r="F28" s="36">
        <v>1700</v>
      </c>
      <c r="G28" s="37">
        <v>1500</v>
      </c>
    </row>
    <row r="29" spans="1:7" ht="28.5" customHeight="1" x14ac:dyDescent="0.25">
      <c r="A29" s="332" t="s">
        <v>214</v>
      </c>
      <c r="B29" s="333"/>
      <c r="C29" s="333"/>
      <c r="D29" s="334"/>
      <c r="E29" s="156">
        <f>E32</f>
        <v>22000</v>
      </c>
      <c r="F29" s="156">
        <f t="shared" ref="F29:G29" si="9">F32</f>
        <v>9000</v>
      </c>
      <c r="G29" s="156">
        <f t="shared" si="9"/>
        <v>0</v>
      </c>
    </row>
    <row r="30" spans="1:7" ht="15" customHeight="1" x14ac:dyDescent="0.25">
      <c r="A30" s="145" t="s">
        <v>136</v>
      </c>
      <c r="B30" s="146"/>
      <c r="C30" s="146"/>
      <c r="D30" s="147"/>
      <c r="E30" s="148"/>
      <c r="F30" s="148"/>
      <c r="G30" s="148"/>
    </row>
    <row r="31" spans="1:7" x14ac:dyDescent="0.25">
      <c r="A31" s="46" t="s">
        <v>286</v>
      </c>
      <c r="B31" s="45"/>
      <c r="C31" s="45"/>
      <c r="D31" s="45"/>
      <c r="E31" s="52">
        <f>E29</f>
        <v>22000</v>
      </c>
      <c r="F31" s="52">
        <f t="shared" ref="F31:G31" si="10">F29</f>
        <v>9000</v>
      </c>
      <c r="G31" s="52">
        <f t="shared" si="10"/>
        <v>0</v>
      </c>
    </row>
    <row r="32" spans="1:7" x14ac:dyDescent="0.25">
      <c r="A32" s="285">
        <v>3</v>
      </c>
      <c r="B32" s="286"/>
      <c r="C32" s="287"/>
      <c r="D32" s="39" t="s">
        <v>20</v>
      </c>
      <c r="E32" s="47">
        <f>E33</f>
        <v>22000</v>
      </c>
      <c r="F32" s="47">
        <f t="shared" ref="F32:G32" si="11">F33</f>
        <v>9000</v>
      </c>
      <c r="G32" s="47">
        <f t="shared" si="11"/>
        <v>0</v>
      </c>
    </row>
    <row r="33" spans="1:7" x14ac:dyDescent="0.25">
      <c r="A33" s="302">
        <v>32</v>
      </c>
      <c r="B33" s="303"/>
      <c r="C33" s="304"/>
      <c r="D33" s="39" t="s">
        <v>37</v>
      </c>
      <c r="E33" s="47">
        <v>22000</v>
      </c>
      <c r="F33" s="47">
        <v>9000</v>
      </c>
      <c r="G33" s="47"/>
    </row>
    <row r="34" spans="1:7" ht="15.75" x14ac:dyDescent="0.25">
      <c r="A34" s="387" t="s">
        <v>74</v>
      </c>
      <c r="B34" s="388"/>
      <c r="C34" s="388"/>
      <c r="D34" s="388"/>
      <c r="E34" s="51">
        <f>E35+E80+E95+E265+E303+E319+E339+E370</f>
        <v>1954151</v>
      </c>
      <c r="F34" s="51">
        <f>F35+F80+F95+F265+F303+F319+F339+F370</f>
        <v>1649181</v>
      </c>
      <c r="G34" s="51">
        <f>G35+G80+G95+G265+G303+G319+G339+G370</f>
        <v>1758600</v>
      </c>
    </row>
    <row r="35" spans="1:7" x14ac:dyDescent="0.25">
      <c r="A35" s="87" t="s">
        <v>75</v>
      </c>
      <c r="B35" s="87"/>
      <c r="C35" s="87"/>
      <c r="D35" s="87"/>
      <c r="E35" s="88">
        <f>E36+E73+E67</f>
        <v>302166</v>
      </c>
      <c r="F35" s="88">
        <f>F36+F73+F67</f>
        <v>263071</v>
      </c>
      <c r="G35" s="88">
        <f>G36+G73+G67</f>
        <v>308940</v>
      </c>
    </row>
    <row r="36" spans="1:7" x14ac:dyDescent="0.25">
      <c r="A36" s="313" t="s">
        <v>134</v>
      </c>
      <c r="B36" s="314"/>
      <c r="C36" s="314"/>
      <c r="D36" s="315"/>
      <c r="E36" s="75">
        <f>E37+E45+E52+E57+E62</f>
        <v>270176</v>
      </c>
      <c r="F36" s="75">
        <f>F37+F45+F52+F57+F62</f>
        <v>250821</v>
      </c>
      <c r="G36" s="75">
        <f>G37+G45+G52+G57+G62</f>
        <v>296690</v>
      </c>
    </row>
    <row r="37" spans="1:7" ht="28.5" customHeight="1" x14ac:dyDescent="0.25">
      <c r="A37" s="332" t="s">
        <v>215</v>
      </c>
      <c r="B37" s="333"/>
      <c r="C37" s="333"/>
      <c r="D37" s="333"/>
      <c r="E37" s="68">
        <f>E42</f>
        <v>211476</v>
      </c>
      <c r="F37" s="68">
        <f t="shared" ref="F37:G37" si="12">F42</f>
        <v>211321</v>
      </c>
      <c r="G37" s="68">
        <f t="shared" si="12"/>
        <v>205790</v>
      </c>
    </row>
    <row r="38" spans="1:7" ht="15" customHeight="1" x14ac:dyDescent="0.25">
      <c r="A38" s="145" t="s">
        <v>136</v>
      </c>
      <c r="B38" s="150"/>
      <c r="C38" s="150"/>
      <c r="D38" s="150"/>
      <c r="E38" s="149"/>
      <c r="F38" s="149"/>
      <c r="G38" s="149"/>
    </row>
    <row r="39" spans="1:7" s="108" customFormat="1" ht="15" customHeight="1" x14ac:dyDescent="0.25">
      <c r="A39" s="300" t="s">
        <v>71</v>
      </c>
      <c r="B39" s="301"/>
      <c r="C39" s="301"/>
      <c r="D39" s="301"/>
      <c r="E39" s="53">
        <f>E37-E40-E41</f>
        <v>211296</v>
      </c>
      <c r="F39" s="53">
        <f>F37-F40-F41</f>
        <v>211171</v>
      </c>
      <c r="G39" s="53">
        <f>G37-G40-G41</f>
        <v>205640</v>
      </c>
    </row>
    <row r="40" spans="1:7" s="108" customFormat="1" ht="15" customHeight="1" x14ac:dyDescent="0.25">
      <c r="A40" s="311" t="s">
        <v>295</v>
      </c>
      <c r="B40" s="312"/>
      <c r="C40" s="312"/>
      <c r="D40" s="312"/>
      <c r="E40" s="53">
        <v>130</v>
      </c>
      <c r="F40" s="53">
        <v>100</v>
      </c>
      <c r="G40" s="53">
        <v>100</v>
      </c>
    </row>
    <row r="41" spans="1:7" s="108" customFormat="1" ht="15" customHeight="1" x14ac:dyDescent="0.25">
      <c r="A41" s="311" t="s">
        <v>296</v>
      </c>
      <c r="B41" s="312"/>
      <c r="C41" s="312"/>
      <c r="D41" s="312"/>
      <c r="E41" s="53">
        <v>50</v>
      </c>
      <c r="F41" s="53">
        <v>50</v>
      </c>
      <c r="G41" s="53">
        <v>50</v>
      </c>
    </row>
    <row r="42" spans="1:7" x14ac:dyDescent="0.25">
      <c r="A42" s="285">
        <v>3</v>
      </c>
      <c r="B42" s="286"/>
      <c r="C42" s="287"/>
      <c r="D42" s="19" t="s">
        <v>20</v>
      </c>
      <c r="E42" s="47">
        <f>E43+E44</f>
        <v>211476</v>
      </c>
      <c r="F42" s="47">
        <f t="shared" ref="F42:G42" si="13">F43+F44</f>
        <v>211321</v>
      </c>
      <c r="G42" s="47">
        <f t="shared" si="13"/>
        <v>205790</v>
      </c>
    </row>
    <row r="43" spans="1:7" x14ac:dyDescent="0.25">
      <c r="A43" s="288">
        <v>31</v>
      </c>
      <c r="B43" s="289"/>
      <c r="C43" s="290"/>
      <c r="D43" s="19" t="s">
        <v>23</v>
      </c>
      <c r="E43" s="47">
        <v>115860</v>
      </c>
      <c r="F43" s="47">
        <v>117000</v>
      </c>
      <c r="G43" s="47">
        <v>117000</v>
      </c>
    </row>
    <row r="44" spans="1:7" x14ac:dyDescent="0.25">
      <c r="A44" s="302">
        <v>32</v>
      </c>
      <c r="B44" s="303"/>
      <c r="C44" s="304"/>
      <c r="D44" s="19" t="s">
        <v>37</v>
      </c>
      <c r="E44" s="47">
        <v>95616</v>
      </c>
      <c r="F44" s="47">
        <f>98270+15650-4000-7100-6000-1500-999</f>
        <v>94321</v>
      </c>
      <c r="G44" s="47">
        <f>97000+22590-9800-19000-2000</f>
        <v>88790</v>
      </c>
    </row>
    <row r="45" spans="1:7" x14ac:dyDescent="0.25">
      <c r="A45" s="368" t="s">
        <v>216</v>
      </c>
      <c r="B45" s="369"/>
      <c r="C45" s="369"/>
      <c r="D45" s="370"/>
      <c r="E45" s="68">
        <f t="shared" ref="E45:G45" si="14">E48</f>
        <v>4200</v>
      </c>
      <c r="F45" s="68">
        <f t="shared" si="14"/>
        <v>3700</v>
      </c>
      <c r="G45" s="68">
        <f t="shared" si="14"/>
        <v>3700</v>
      </c>
    </row>
    <row r="46" spans="1:7" ht="15" customHeight="1" x14ac:dyDescent="0.25">
      <c r="A46" s="145" t="s">
        <v>136</v>
      </c>
      <c r="B46" s="150"/>
      <c r="C46" s="150"/>
      <c r="D46" s="150"/>
      <c r="E46" s="149"/>
      <c r="F46" s="149"/>
      <c r="G46" s="149"/>
    </row>
    <row r="47" spans="1:7" x14ac:dyDescent="0.25">
      <c r="A47" s="311" t="s">
        <v>72</v>
      </c>
      <c r="B47" s="312"/>
      <c r="C47" s="312"/>
      <c r="D47" s="312"/>
      <c r="E47" s="53">
        <f>E45</f>
        <v>4200</v>
      </c>
      <c r="F47" s="53">
        <f t="shared" ref="F47:G47" si="15">F45</f>
        <v>3700</v>
      </c>
      <c r="G47" s="53">
        <f t="shared" si="15"/>
        <v>3700</v>
      </c>
    </row>
    <row r="48" spans="1:7" x14ac:dyDescent="0.25">
      <c r="A48" s="285">
        <v>3</v>
      </c>
      <c r="B48" s="286"/>
      <c r="C48" s="287"/>
      <c r="D48" s="19" t="s">
        <v>20</v>
      </c>
      <c r="E48" s="47">
        <f>E49+E50</f>
        <v>4200</v>
      </c>
      <c r="F48" s="47">
        <f t="shared" ref="F48:G48" si="16">F49+F50</f>
        <v>3700</v>
      </c>
      <c r="G48" s="47">
        <f t="shared" si="16"/>
        <v>3700</v>
      </c>
    </row>
    <row r="49" spans="1:7" x14ac:dyDescent="0.25">
      <c r="A49" s="302">
        <v>32</v>
      </c>
      <c r="B49" s="303"/>
      <c r="C49" s="304"/>
      <c r="D49" s="39" t="s">
        <v>37</v>
      </c>
      <c r="E49" s="47">
        <v>1000</v>
      </c>
      <c r="F49" s="47">
        <v>500</v>
      </c>
      <c r="G49" s="47">
        <v>500</v>
      </c>
    </row>
    <row r="50" spans="1:7" x14ac:dyDescent="0.25">
      <c r="A50" s="302">
        <v>34</v>
      </c>
      <c r="B50" s="303"/>
      <c r="C50" s="304"/>
      <c r="D50" s="39" t="s">
        <v>95</v>
      </c>
      <c r="E50" s="47">
        <v>3200</v>
      </c>
      <c r="F50" s="47">
        <v>3200</v>
      </c>
      <c r="G50" s="47">
        <v>3200</v>
      </c>
    </row>
    <row r="51" spans="1:7" x14ac:dyDescent="0.25">
      <c r="A51" s="199"/>
      <c r="B51" s="200"/>
      <c r="C51" s="200"/>
      <c r="D51" s="39"/>
      <c r="E51" s="47"/>
      <c r="F51" s="47"/>
      <c r="G51" s="47"/>
    </row>
    <row r="52" spans="1:7" x14ac:dyDescent="0.25">
      <c r="A52" s="368" t="s">
        <v>217</v>
      </c>
      <c r="B52" s="369"/>
      <c r="C52" s="369"/>
      <c r="D52" s="370"/>
      <c r="E52" s="68">
        <f>E55</f>
        <v>20000</v>
      </c>
      <c r="F52" s="68">
        <f t="shared" ref="F52:G52" si="17">F55</f>
        <v>33800</v>
      </c>
      <c r="G52" s="68">
        <f t="shared" si="17"/>
        <v>70200</v>
      </c>
    </row>
    <row r="53" spans="1:7" ht="15" customHeight="1" x14ac:dyDescent="0.25">
      <c r="A53" s="145" t="s">
        <v>136</v>
      </c>
      <c r="B53" s="150"/>
      <c r="C53" s="150"/>
      <c r="D53" s="150"/>
      <c r="E53" s="149"/>
      <c r="F53" s="149"/>
      <c r="G53" s="149"/>
    </row>
    <row r="54" spans="1:7" x14ac:dyDescent="0.25">
      <c r="A54" s="311" t="s">
        <v>72</v>
      </c>
      <c r="B54" s="312"/>
      <c r="C54" s="312"/>
      <c r="D54" s="312"/>
      <c r="E54" s="53">
        <f>E52</f>
        <v>20000</v>
      </c>
      <c r="F54" s="53">
        <f t="shared" ref="F54:G54" si="18">F52</f>
        <v>33800</v>
      </c>
      <c r="G54" s="53">
        <f t="shared" si="18"/>
        <v>70200</v>
      </c>
    </row>
    <row r="55" spans="1:7" ht="25.5" x14ac:dyDescent="0.25">
      <c r="A55" s="285">
        <v>4</v>
      </c>
      <c r="B55" s="286"/>
      <c r="C55" s="287"/>
      <c r="D55" s="19" t="s">
        <v>5</v>
      </c>
      <c r="E55" s="47">
        <f>E56</f>
        <v>20000</v>
      </c>
      <c r="F55" s="47">
        <f t="shared" ref="F55:G55" si="19">F56</f>
        <v>33800</v>
      </c>
      <c r="G55" s="47">
        <f t="shared" si="19"/>
        <v>70200</v>
      </c>
    </row>
    <row r="56" spans="1:7" ht="25.5" x14ac:dyDescent="0.25">
      <c r="A56" s="288">
        <v>42</v>
      </c>
      <c r="B56" s="289"/>
      <c r="C56" s="290"/>
      <c r="D56" s="19" t="s">
        <v>94</v>
      </c>
      <c r="E56" s="47">
        <v>20000</v>
      </c>
      <c r="F56" s="47">
        <v>33800</v>
      </c>
      <c r="G56" s="47">
        <f>71000-800</f>
        <v>70200</v>
      </c>
    </row>
    <row r="57" spans="1:7" x14ac:dyDescent="0.25">
      <c r="A57" s="297" t="s">
        <v>266</v>
      </c>
      <c r="B57" s="298"/>
      <c r="C57" s="298"/>
      <c r="D57" s="299"/>
      <c r="E57" s="68">
        <f>E60</f>
        <v>20000</v>
      </c>
      <c r="F57" s="68"/>
      <c r="G57" s="68"/>
    </row>
    <row r="58" spans="1:7" ht="15" customHeight="1" x14ac:dyDescent="0.25">
      <c r="A58" s="145" t="s">
        <v>136</v>
      </c>
      <c r="B58" s="150"/>
      <c r="C58" s="150"/>
      <c r="D58" s="150"/>
      <c r="E58" s="149"/>
      <c r="F58" s="149"/>
      <c r="G58" s="149"/>
    </row>
    <row r="59" spans="1:7" x14ac:dyDescent="0.25">
      <c r="A59" s="311" t="s">
        <v>72</v>
      </c>
      <c r="B59" s="312"/>
      <c r="C59" s="312"/>
      <c r="D59" s="312"/>
      <c r="E59" s="53">
        <f>E57</f>
        <v>20000</v>
      </c>
      <c r="F59" s="53"/>
      <c r="G59" s="53"/>
    </row>
    <row r="60" spans="1:7" x14ac:dyDescent="0.25">
      <c r="A60" s="285">
        <v>3</v>
      </c>
      <c r="B60" s="286"/>
      <c r="C60" s="287"/>
      <c r="D60" s="19" t="s">
        <v>20</v>
      </c>
      <c r="E60" s="47">
        <f>E61</f>
        <v>20000</v>
      </c>
      <c r="F60" s="47"/>
      <c r="G60" s="47"/>
    </row>
    <row r="61" spans="1:7" x14ac:dyDescent="0.25">
      <c r="A61" s="302">
        <v>32</v>
      </c>
      <c r="B61" s="303"/>
      <c r="C61" s="304"/>
      <c r="D61" s="39" t="s">
        <v>37</v>
      </c>
      <c r="E61" s="47">
        <v>20000</v>
      </c>
      <c r="F61" s="47"/>
      <c r="G61" s="47"/>
    </row>
    <row r="62" spans="1:7" x14ac:dyDescent="0.25">
      <c r="A62" s="297" t="s">
        <v>218</v>
      </c>
      <c r="B62" s="298"/>
      <c r="C62" s="298"/>
      <c r="D62" s="299"/>
      <c r="E62" s="112">
        <f>E65</f>
        <v>14500</v>
      </c>
      <c r="F62" s="112">
        <f t="shared" ref="F62:G62" si="20">F65</f>
        <v>2000</v>
      </c>
      <c r="G62" s="112">
        <f t="shared" si="20"/>
        <v>17000</v>
      </c>
    </row>
    <row r="63" spans="1:7" x14ac:dyDescent="0.25">
      <c r="A63" s="145" t="s">
        <v>136</v>
      </c>
      <c r="B63" s="150"/>
      <c r="C63" s="150"/>
      <c r="D63" s="150"/>
      <c r="E63" s="193"/>
      <c r="F63" s="193"/>
      <c r="G63" s="193"/>
    </row>
    <row r="64" spans="1:7" x14ac:dyDescent="0.25">
      <c r="A64" s="300" t="s">
        <v>71</v>
      </c>
      <c r="B64" s="301"/>
      <c r="C64" s="301"/>
      <c r="D64" s="301"/>
      <c r="E64" s="53">
        <f>E62</f>
        <v>14500</v>
      </c>
      <c r="F64" s="53">
        <f t="shared" ref="F64:G64" si="21">F62</f>
        <v>2000</v>
      </c>
      <c r="G64" s="53">
        <f t="shared" si="21"/>
        <v>17000</v>
      </c>
    </row>
    <row r="65" spans="1:7" ht="25.5" x14ac:dyDescent="0.25">
      <c r="A65" s="285">
        <v>4</v>
      </c>
      <c r="B65" s="286"/>
      <c r="C65" s="287"/>
      <c r="D65" s="19" t="s">
        <v>5</v>
      </c>
      <c r="E65" s="47">
        <f>E66</f>
        <v>14500</v>
      </c>
      <c r="F65" s="47">
        <f t="shared" ref="F65:G65" si="22">F66</f>
        <v>2000</v>
      </c>
      <c r="G65" s="47">
        <f t="shared" si="22"/>
        <v>17000</v>
      </c>
    </row>
    <row r="66" spans="1:7" ht="25.5" x14ac:dyDescent="0.25">
      <c r="A66" s="288">
        <v>42</v>
      </c>
      <c r="B66" s="289"/>
      <c r="C66" s="290"/>
      <c r="D66" s="19" t="s">
        <v>94</v>
      </c>
      <c r="E66" s="47">
        <v>14500</v>
      </c>
      <c r="F66" s="47">
        <v>2000</v>
      </c>
      <c r="G66" s="47">
        <v>17000</v>
      </c>
    </row>
    <row r="67" spans="1:7" x14ac:dyDescent="0.25">
      <c r="A67" s="313" t="s">
        <v>137</v>
      </c>
      <c r="B67" s="314"/>
      <c r="C67" s="314"/>
      <c r="D67" s="315"/>
      <c r="E67" s="191">
        <f>E68</f>
        <v>20000</v>
      </c>
      <c r="F67" s="191">
        <f t="shared" ref="F67:G67" si="23">F68</f>
        <v>0</v>
      </c>
      <c r="G67" s="191">
        <f t="shared" si="23"/>
        <v>0</v>
      </c>
    </row>
    <row r="68" spans="1:7" x14ac:dyDescent="0.25">
      <c r="A68" s="316" t="s">
        <v>219</v>
      </c>
      <c r="B68" s="317"/>
      <c r="C68" s="317"/>
      <c r="D68" s="318"/>
      <c r="E68" s="60">
        <f>E71</f>
        <v>20000</v>
      </c>
      <c r="F68" s="60">
        <f t="shared" ref="F68:G68" si="24">F71</f>
        <v>0</v>
      </c>
      <c r="G68" s="60">
        <f t="shared" si="24"/>
        <v>0</v>
      </c>
    </row>
    <row r="69" spans="1:7" ht="15" customHeight="1" x14ac:dyDescent="0.25">
      <c r="A69" s="145" t="s">
        <v>159</v>
      </c>
      <c r="B69" s="150"/>
      <c r="C69" s="150"/>
      <c r="D69" s="150"/>
      <c r="E69" s="149"/>
      <c r="F69" s="149"/>
      <c r="G69" s="149"/>
    </row>
    <row r="70" spans="1:7" x14ac:dyDescent="0.25">
      <c r="A70" s="311" t="s">
        <v>72</v>
      </c>
      <c r="B70" s="312"/>
      <c r="C70" s="312"/>
      <c r="D70" s="312"/>
      <c r="E70" s="53">
        <f>E68</f>
        <v>20000</v>
      </c>
      <c r="F70" s="53">
        <f t="shared" ref="F70:G70" si="25">F68</f>
        <v>0</v>
      </c>
      <c r="G70" s="53">
        <f t="shared" si="25"/>
        <v>0</v>
      </c>
    </row>
    <row r="71" spans="1:7" x14ac:dyDescent="0.25">
      <c r="A71" s="285">
        <v>3</v>
      </c>
      <c r="B71" s="286"/>
      <c r="C71" s="287"/>
      <c r="D71" s="19" t="s">
        <v>20</v>
      </c>
      <c r="E71" s="47">
        <f>E72</f>
        <v>20000</v>
      </c>
      <c r="F71" s="47">
        <f t="shared" ref="F71:G71" si="26">F72</f>
        <v>0</v>
      </c>
      <c r="G71" s="47">
        <f t="shared" si="26"/>
        <v>0</v>
      </c>
    </row>
    <row r="72" spans="1:7" ht="25.5" x14ac:dyDescent="0.25">
      <c r="A72" s="302">
        <v>36</v>
      </c>
      <c r="B72" s="303"/>
      <c r="C72" s="304"/>
      <c r="D72" s="39" t="s">
        <v>53</v>
      </c>
      <c r="E72" s="47">
        <v>20000</v>
      </c>
      <c r="F72" s="47"/>
      <c r="G72" s="47"/>
    </row>
    <row r="73" spans="1:7" x14ac:dyDescent="0.25">
      <c r="A73" s="313" t="s">
        <v>138</v>
      </c>
      <c r="B73" s="314"/>
      <c r="C73" s="314"/>
      <c r="D73" s="315"/>
      <c r="E73" s="76">
        <f t="shared" ref="E73:G73" si="27">E74</f>
        <v>11990</v>
      </c>
      <c r="F73" s="76">
        <f t="shared" si="27"/>
        <v>12250</v>
      </c>
      <c r="G73" s="76">
        <f t="shared" si="27"/>
        <v>12250</v>
      </c>
    </row>
    <row r="74" spans="1:7" s="109" customFormat="1" x14ac:dyDescent="0.25">
      <c r="A74" s="297" t="s">
        <v>220</v>
      </c>
      <c r="B74" s="298"/>
      <c r="C74" s="298"/>
      <c r="D74" s="299"/>
      <c r="E74" s="56">
        <f>E77</f>
        <v>11990</v>
      </c>
      <c r="F74" s="56">
        <f t="shared" ref="F74:G74" si="28">F77</f>
        <v>12250</v>
      </c>
      <c r="G74" s="56">
        <f t="shared" si="28"/>
        <v>12250</v>
      </c>
    </row>
    <row r="75" spans="1:7" ht="15" customHeight="1" x14ac:dyDescent="0.25">
      <c r="A75" s="145" t="s">
        <v>269</v>
      </c>
      <c r="B75" s="150"/>
      <c r="C75" s="150"/>
      <c r="D75" s="150"/>
      <c r="E75" s="149"/>
      <c r="F75" s="149"/>
      <c r="G75" s="149"/>
    </row>
    <row r="76" spans="1:7" x14ac:dyDescent="0.25">
      <c r="A76" s="300" t="s">
        <v>288</v>
      </c>
      <c r="B76" s="301"/>
      <c r="C76" s="301"/>
      <c r="D76" s="301"/>
      <c r="E76" s="53">
        <f>E74</f>
        <v>11990</v>
      </c>
      <c r="F76" s="53">
        <f t="shared" ref="F76:G76" si="29">F74</f>
        <v>12250</v>
      </c>
      <c r="G76" s="53">
        <f t="shared" si="29"/>
        <v>12250</v>
      </c>
    </row>
    <row r="77" spans="1:7" x14ac:dyDescent="0.25">
      <c r="A77" s="285">
        <v>3</v>
      </c>
      <c r="B77" s="286"/>
      <c r="C77" s="287"/>
      <c r="D77" s="19" t="s">
        <v>20</v>
      </c>
      <c r="E77" s="47">
        <f>E78+E79</f>
        <v>11990</v>
      </c>
      <c r="F77" s="47">
        <f t="shared" ref="F77:G77" si="30">F78+F79</f>
        <v>12250</v>
      </c>
      <c r="G77" s="47">
        <f t="shared" si="30"/>
        <v>12250</v>
      </c>
    </row>
    <row r="78" spans="1:7" x14ac:dyDescent="0.25">
      <c r="A78" s="288">
        <v>31</v>
      </c>
      <c r="B78" s="289"/>
      <c r="C78" s="290"/>
      <c r="D78" s="19" t="s">
        <v>23</v>
      </c>
      <c r="E78" s="47">
        <v>11750</v>
      </c>
      <c r="F78" s="47">
        <v>12000</v>
      </c>
      <c r="G78" s="47">
        <v>12000</v>
      </c>
    </row>
    <row r="79" spans="1:7" x14ac:dyDescent="0.25">
      <c r="A79" s="302">
        <v>32</v>
      </c>
      <c r="B79" s="303"/>
      <c r="C79" s="304"/>
      <c r="D79" s="39" t="s">
        <v>37</v>
      </c>
      <c r="E79" s="47">
        <v>240</v>
      </c>
      <c r="F79" s="47">
        <v>250</v>
      </c>
      <c r="G79" s="47">
        <v>250</v>
      </c>
    </row>
    <row r="80" spans="1:7" x14ac:dyDescent="0.25">
      <c r="A80" s="87" t="s">
        <v>77</v>
      </c>
      <c r="B80" s="87"/>
      <c r="C80" s="87"/>
      <c r="D80" s="87"/>
      <c r="E80" s="88">
        <f>E81+E89</f>
        <v>28192</v>
      </c>
      <c r="F80" s="88">
        <f t="shared" ref="F80:G80" si="31">F81+F89</f>
        <v>26200</v>
      </c>
      <c r="G80" s="88">
        <f t="shared" si="31"/>
        <v>15000</v>
      </c>
    </row>
    <row r="81" spans="1:7" x14ac:dyDescent="0.25">
      <c r="A81" s="73" t="s">
        <v>139</v>
      </c>
      <c r="B81" s="73"/>
      <c r="C81" s="73"/>
      <c r="D81" s="73"/>
      <c r="E81" s="76">
        <f t="shared" ref="E81:G81" si="32">E82</f>
        <v>23192</v>
      </c>
      <c r="F81" s="76">
        <f t="shared" si="32"/>
        <v>21200</v>
      </c>
      <c r="G81" s="76">
        <f t="shared" si="32"/>
        <v>14000</v>
      </c>
    </row>
    <row r="82" spans="1:7" x14ac:dyDescent="0.25">
      <c r="A82" s="383" t="s">
        <v>221</v>
      </c>
      <c r="B82" s="384"/>
      <c r="C82" s="384"/>
      <c r="D82" s="396"/>
      <c r="E82" s="378">
        <f>E86</f>
        <v>23192</v>
      </c>
      <c r="F82" s="378">
        <f t="shared" ref="F82:G82" si="33">F86</f>
        <v>21200</v>
      </c>
      <c r="G82" s="378">
        <f t="shared" si="33"/>
        <v>14000</v>
      </c>
    </row>
    <row r="83" spans="1:7" x14ac:dyDescent="0.25">
      <c r="A83" s="63" t="s">
        <v>78</v>
      </c>
      <c r="B83" s="69"/>
      <c r="C83" s="69"/>
      <c r="D83" s="69"/>
      <c r="E83" s="379"/>
      <c r="F83" s="379"/>
      <c r="G83" s="379"/>
    </row>
    <row r="84" spans="1:7" ht="15" customHeight="1" x14ac:dyDescent="0.25">
      <c r="A84" s="145" t="s">
        <v>161</v>
      </c>
      <c r="B84" s="150"/>
      <c r="C84" s="150"/>
      <c r="D84" s="150"/>
      <c r="E84" s="149"/>
      <c r="F84" s="149"/>
      <c r="G84" s="149"/>
    </row>
    <row r="85" spans="1:7" x14ac:dyDescent="0.25">
      <c r="A85" s="300" t="s">
        <v>71</v>
      </c>
      <c r="B85" s="301"/>
      <c r="C85" s="301"/>
      <c r="D85" s="301"/>
      <c r="E85" s="53">
        <f>E82</f>
        <v>23192</v>
      </c>
      <c r="F85" s="53">
        <f t="shared" ref="F85:G85" si="34">F82</f>
        <v>21200</v>
      </c>
      <c r="G85" s="53">
        <f t="shared" si="34"/>
        <v>14000</v>
      </c>
    </row>
    <row r="86" spans="1:7" x14ac:dyDescent="0.25">
      <c r="A86" s="285">
        <v>3</v>
      </c>
      <c r="B86" s="286"/>
      <c r="C86" s="287"/>
      <c r="D86" s="19" t="s">
        <v>20</v>
      </c>
      <c r="E86" s="47">
        <f>E87+E88</f>
        <v>23192</v>
      </c>
      <c r="F86" s="47">
        <f t="shared" ref="F86:G86" si="35">F87+F88</f>
        <v>21200</v>
      </c>
      <c r="G86" s="47">
        <f t="shared" si="35"/>
        <v>14000</v>
      </c>
    </row>
    <row r="87" spans="1:7" x14ac:dyDescent="0.25">
      <c r="A87" s="288">
        <v>35</v>
      </c>
      <c r="B87" s="289"/>
      <c r="C87" s="290"/>
      <c r="D87" s="19" t="s">
        <v>52</v>
      </c>
      <c r="E87" s="47">
        <v>20000</v>
      </c>
      <c r="F87" s="47">
        <v>18000</v>
      </c>
      <c r="G87" s="47">
        <v>12000</v>
      </c>
    </row>
    <row r="88" spans="1:7" ht="25.5" x14ac:dyDescent="0.25">
      <c r="A88" s="302">
        <v>36</v>
      </c>
      <c r="B88" s="303"/>
      <c r="C88" s="304"/>
      <c r="D88" s="39" t="s">
        <v>53</v>
      </c>
      <c r="E88" s="47">
        <v>3192</v>
      </c>
      <c r="F88" s="47">
        <v>3200</v>
      </c>
      <c r="G88" s="47">
        <v>2000</v>
      </c>
    </row>
    <row r="89" spans="1:7" x14ac:dyDescent="0.25">
      <c r="A89" s="335" t="s">
        <v>140</v>
      </c>
      <c r="B89" s="336"/>
      <c r="C89" s="336"/>
      <c r="D89" s="336"/>
      <c r="E89" s="72">
        <f t="shared" ref="E89:G89" si="36">E90</f>
        <v>5000</v>
      </c>
      <c r="F89" s="72">
        <f t="shared" si="36"/>
        <v>5000</v>
      </c>
      <c r="G89" s="72">
        <f t="shared" si="36"/>
        <v>1000</v>
      </c>
    </row>
    <row r="90" spans="1:7" x14ac:dyDescent="0.25">
      <c r="A90" s="368" t="s">
        <v>222</v>
      </c>
      <c r="B90" s="369"/>
      <c r="C90" s="369"/>
      <c r="D90" s="369"/>
      <c r="E90" s="60">
        <f>E93</f>
        <v>5000</v>
      </c>
      <c r="F90" s="60">
        <f t="shared" ref="F90:G90" si="37">F93</f>
        <v>5000</v>
      </c>
      <c r="G90" s="60">
        <f t="shared" si="37"/>
        <v>1000</v>
      </c>
    </row>
    <row r="91" spans="1:7" ht="15" customHeight="1" x14ac:dyDescent="0.25">
      <c r="A91" s="145" t="s">
        <v>162</v>
      </c>
      <c r="B91" s="150"/>
      <c r="C91" s="150"/>
      <c r="D91" s="150"/>
      <c r="E91" s="149"/>
      <c r="F91" s="149"/>
      <c r="G91" s="149"/>
    </row>
    <row r="92" spans="1:7" x14ac:dyDescent="0.25">
      <c r="A92" s="300" t="s">
        <v>71</v>
      </c>
      <c r="B92" s="301"/>
      <c r="C92" s="301"/>
      <c r="D92" s="301"/>
      <c r="E92" s="53">
        <f>E90</f>
        <v>5000</v>
      </c>
      <c r="F92" s="53">
        <f t="shared" ref="F92:G92" si="38">F90</f>
        <v>5000</v>
      </c>
      <c r="G92" s="53">
        <f t="shared" si="38"/>
        <v>1000</v>
      </c>
    </row>
    <row r="93" spans="1:7" x14ac:dyDescent="0.25">
      <c r="A93" s="285">
        <v>3</v>
      </c>
      <c r="B93" s="286"/>
      <c r="C93" s="287"/>
      <c r="D93" s="19" t="s">
        <v>20</v>
      </c>
      <c r="E93" s="47">
        <f>E94</f>
        <v>5000</v>
      </c>
      <c r="F93" s="47">
        <f t="shared" ref="F93:G93" si="39">F94</f>
        <v>5000</v>
      </c>
      <c r="G93" s="47">
        <f t="shared" si="39"/>
        <v>1000</v>
      </c>
    </row>
    <row r="94" spans="1:7" x14ac:dyDescent="0.25">
      <c r="A94" s="288">
        <v>35</v>
      </c>
      <c r="B94" s="289"/>
      <c r="C94" s="290"/>
      <c r="D94" s="19" t="s">
        <v>52</v>
      </c>
      <c r="E94" s="47">
        <v>5000</v>
      </c>
      <c r="F94" s="47">
        <v>5000</v>
      </c>
      <c r="G94" s="47">
        <v>1000</v>
      </c>
    </row>
    <row r="95" spans="1:7" x14ac:dyDescent="0.25">
      <c r="A95" s="90" t="s">
        <v>79</v>
      </c>
      <c r="B95" s="90"/>
      <c r="C95" s="90"/>
      <c r="D95" s="90"/>
      <c r="E95" s="392">
        <f>E97+E143+E187+E195+E215+E222+E255</f>
        <v>1023640</v>
      </c>
      <c r="F95" s="392">
        <f>F97+F143+F187+F195+F215+F222+F255</f>
        <v>827400</v>
      </c>
      <c r="G95" s="392">
        <f>G97+G143+G187+G195+G215+G222+G255</f>
        <v>955300</v>
      </c>
    </row>
    <row r="96" spans="1:7" x14ac:dyDescent="0.25">
      <c r="A96" s="380" t="s">
        <v>80</v>
      </c>
      <c r="B96" s="381"/>
      <c r="C96" s="381"/>
      <c r="D96" s="382"/>
      <c r="E96" s="393"/>
      <c r="F96" s="393"/>
      <c r="G96" s="393"/>
    </row>
    <row r="97" spans="1:7" x14ac:dyDescent="0.25">
      <c r="A97" s="313" t="s">
        <v>223</v>
      </c>
      <c r="B97" s="314"/>
      <c r="C97" s="314"/>
      <c r="D97" s="315"/>
      <c r="E97" s="75">
        <f>E98+E109+E114+E119+E124+E130+E136</f>
        <v>233300</v>
      </c>
      <c r="F97" s="75">
        <f>F98+F109+F114+F119+F124+F130+F136</f>
        <v>216100</v>
      </c>
      <c r="G97" s="75">
        <f>G98+G109+G114+G119+G124+G130+G136</f>
        <v>93000</v>
      </c>
    </row>
    <row r="98" spans="1:7" x14ac:dyDescent="0.25">
      <c r="A98" s="383" t="s">
        <v>224</v>
      </c>
      <c r="B98" s="384"/>
      <c r="C98" s="384"/>
      <c r="D98" s="384"/>
      <c r="E98" s="394">
        <f t="shared" ref="E98:G98" si="40">E107</f>
        <v>163000</v>
      </c>
      <c r="F98" s="394">
        <f t="shared" si="40"/>
        <v>141000</v>
      </c>
      <c r="G98" s="394">
        <f t="shared" si="40"/>
        <v>45400</v>
      </c>
    </row>
    <row r="99" spans="1:7" x14ac:dyDescent="0.25">
      <c r="A99" s="341" t="s">
        <v>225</v>
      </c>
      <c r="B99" s="342"/>
      <c r="C99" s="342"/>
      <c r="D99" s="342"/>
      <c r="E99" s="395"/>
      <c r="F99" s="395"/>
      <c r="G99" s="395"/>
    </row>
    <row r="100" spans="1:7" ht="15" customHeight="1" x14ac:dyDescent="0.25">
      <c r="A100" s="145" t="s">
        <v>160</v>
      </c>
      <c r="B100" s="150"/>
      <c r="C100" s="150"/>
      <c r="D100" s="150"/>
      <c r="E100" s="149"/>
      <c r="F100" s="149"/>
      <c r="G100" s="149"/>
    </row>
    <row r="101" spans="1:7" x14ac:dyDescent="0.25">
      <c r="A101" s="311" t="s">
        <v>291</v>
      </c>
      <c r="B101" s="312"/>
      <c r="C101" s="312"/>
      <c r="D101" s="312"/>
      <c r="E101" s="53">
        <f>26000+36000</f>
        <v>62000</v>
      </c>
      <c r="F101" s="53">
        <v>20000</v>
      </c>
      <c r="G101" s="53">
        <v>1760</v>
      </c>
    </row>
    <row r="102" spans="1:7" x14ac:dyDescent="0.25">
      <c r="A102" s="311" t="s">
        <v>290</v>
      </c>
      <c r="B102" s="312"/>
      <c r="C102" s="312"/>
      <c r="D102" s="312"/>
      <c r="E102" s="53">
        <f>15468</f>
        <v>15468</v>
      </c>
      <c r="F102" s="53">
        <v>9710</v>
      </c>
      <c r="G102" s="53">
        <v>14950</v>
      </c>
    </row>
    <row r="103" spans="1:7" x14ac:dyDescent="0.25">
      <c r="A103" s="311" t="s">
        <v>292</v>
      </c>
      <c r="B103" s="312"/>
      <c r="C103" s="312"/>
      <c r="D103" s="312"/>
      <c r="E103" s="53">
        <v>2800</v>
      </c>
      <c r="F103" s="53">
        <v>2000</v>
      </c>
      <c r="G103" s="53">
        <v>1500</v>
      </c>
    </row>
    <row r="104" spans="1:7" x14ac:dyDescent="0.25">
      <c r="A104" s="311" t="s">
        <v>293</v>
      </c>
      <c r="B104" s="312"/>
      <c r="C104" s="312"/>
      <c r="D104" s="312"/>
      <c r="E104" s="53">
        <v>100</v>
      </c>
      <c r="F104" s="53"/>
      <c r="G104" s="53">
        <v>50</v>
      </c>
    </row>
    <row r="105" spans="1:7" x14ac:dyDescent="0.25">
      <c r="A105" s="300" t="s">
        <v>71</v>
      </c>
      <c r="B105" s="301"/>
      <c r="C105" s="301"/>
      <c r="D105" s="301"/>
      <c r="E105" s="53">
        <f>E98-E101-E102-E103-E104-E106</f>
        <v>52632</v>
      </c>
      <c r="F105" s="53">
        <f>F98-F101-F102-F103-F106</f>
        <v>89290</v>
      </c>
      <c r="G105" s="53">
        <f>G98-G102-G103-G104-G106-G101</f>
        <v>9140</v>
      </c>
    </row>
    <row r="106" spans="1:7" x14ac:dyDescent="0.25">
      <c r="A106" s="300" t="s">
        <v>289</v>
      </c>
      <c r="B106" s="301"/>
      <c r="C106" s="301"/>
      <c r="D106" s="301"/>
      <c r="E106" s="53">
        <f>10000+20000</f>
        <v>30000</v>
      </c>
      <c r="F106" s="53">
        <v>20000</v>
      </c>
      <c r="G106" s="53">
        <v>18000</v>
      </c>
    </row>
    <row r="107" spans="1:7" x14ac:dyDescent="0.25">
      <c r="A107" s="285">
        <v>3</v>
      </c>
      <c r="B107" s="286"/>
      <c r="C107" s="287"/>
      <c r="D107" s="19" t="s">
        <v>20</v>
      </c>
      <c r="E107" s="40">
        <f>E108</f>
        <v>163000</v>
      </c>
      <c r="F107" s="40">
        <f t="shared" ref="F107:G107" si="41">F108</f>
        <v>141000</v>
      </c>
      <c r="G107" s="40">
        <f t="shared" si="41"/>
        <v>45400</v>
      </c>
    </row>
    <row r="108" spans="1:7" x14ac:dyDescent="0.25">
      <c r="A108" s="288">
        <v>32</v>
      </c>
      <c r="B108" s="289"/>
      <c r="C108" s="290"/>
      <c r="D108" s="19" t="s">
        <v>37</v>
      </c>
      <c r="E108" s="47">
        <v>163000</v>
      </c>
      <c r="F108" s="47">
        <v>141000</v>
      </c>
      <c r="G108" s="47">
        <f>150000-19700-84900</f>
        <v>45400</v>
      </c>
    </row>
    <row r="109" spans="1:7" x14ac:dyDescent="0.25">
      <c r="A109" s="316" t="s">
        <v>226</v>
      </c>
      <c r="B109" s="317"/>
      <c r="C109" s="317"/>
      <c r="D109" s="318"/>
      <c r="E109" s="112">
        <f>E112</f>
        <v>3000</v>
      </c>
      <c r="F109" s="112">
        <f t="shared" ref="F109:G109" si="42">F112</f>
        <v>3500</v>
      </c>
      <c r="G109" s="112">
        <f t="shared" si="42"/>
        <v>2500</v>
      </c>
    </row>
    <row r="110" spans="1:7" ht="15" customHeight="1" x14ac:dyDescent="0.25">
      <c r="A110" s="145" t="s">
        <v>168</v>
      </c>
      <c r="B110" s="150"/>
      <c r="C110" s="150"/>
      <c r="D110" s="150"/>
      <c r="E110" s="149"/>
      <c r="F110" s="149"/>
      <c r="G110" s="149"/>
    </row>
    <row r="111" spans="1:7" x14ac:dyDescent="0.25">
      <c r="A111" s="300" t="s">
        <v>71</v>
      </c>
      <c r="B111" s="301"/>
      <c r="C111" s="301"/>
      <c r="D111" s="301"/>
      <c r="E111" s="53">
        <f>E109</f>
        <v>3000</v>
      </c>
      <c r="F111" s="53">
        <f>F109</f>
        <v>3500</v>
      </c>
      <c r="G111" s="53">
        <f>G109</f>
        <v>2500</v>
      </c>
    </row>
    <row r="112" spans="1:7" x14ac:dyDescent="0.25">
      <c r="A112" s="285">
        <v>3</v>
      </c>
      <c r="B112" s="286"/>
      <c r="C112" s="287"/>
      <c r="D112" s="19" t="s">
        <v>20</v>
      </c>
      <c r="E112" s="47">
        <f>E113</f>
        <v>3000</v>
      </c>
      <c r="F112" s="47">
        <f t="shared" ref="F112:G112" si="43">F113</f>
        <v>3500</v>
      </c>
      <c r="G112" s="47">
        <f t="shared" si="43"/>
        <v>2500</v>
      </c>
    </row>
    <row r="113" spans="1:7" x14ac:dyDescent="0.25">
      <c r="A113" s="288">
        <v>32</v>
      </c>
      <c r="B113" s="289"/>
      <c r="C113" s="290"/>
      <c r="D113" s="19" t="s">
        <v>37</v>
      </c>
      <c r="E113" s="47">
        <v>3000</v>
      </c>
      <c r="F113" s="47">
        <v>3500</v>
      </c>
      <c r="G113" s="47">
        <v>2500</v>
      </c>
    </row>
    <row r="114" spans="1:7" x14ac:dyDescent="0.25">
      <c r="A114" s="316" t="s">
        <v>227</v>
      </c>
      <c r="B114" s="317"/>
      <c r="C114" s="317"/>
      <c r="D114" s="318"/>
      <c r="E114" s="112">
        <f>E117</f>
        <v>31500</v>
      </c>
      <c r="F114" s="112">
        <f t="shared" ref="F114:G114" si="44">F117</f>
        <v>36600</v>
      </c>
      <c r="G114" s="112">
        <f t="shared" si="44"/>
        <v>20000</v>
      </c>
    </row>
    <row r="115" spans="1:7" ht="15" customHeight="1" x14ac:dyDescent="0.25">
      <c r="A115" s="145" t="s">
        <v>164</v>
      </c>
      <c r="B115" s="150"/>
      <c r="C115" s="150"/>
      <c r="D115" s="150"/>
      <c r="E115" s="149"/>
      <c r="F115" s="149"/>
      <c r="G115" s="149"/>
    </row>
    <row r="116" spans="1:7" x14ac:dyDescent="0.25">
      <c r="A116" s="300" t="s">
        <v>71</v>
      </c>
      <c r="B116" s="301"/>
      <c r="C116" s="301"/>
      <c r="D116" s="301"/>
      <c r="E116" s="53">
        <f>E114</f>
        <v>31500</v>
      </c>
      <c r="F116" s="53">
        <f t="shared" ref="F116:G116" si="45">F114</f>
        <v>36600</v>
      </c>
      <c r="G116" s="53">
        <f t="shared" si="45"/>
        <v>20000</v>
      </c>
    </row>
    <row r="117" spans="1:7" x14ac:dyDescent="0.25">
      <c r="A117" s="285">
        <v>3</v>
      </c>
      <c r="B117" s="286"/>
      <c r="C117" s="287"/>
      <c r="D117" s="19" t="s">
        <v>20</v>
      </c>
      <c r="E117" s="47">
        <f>E118</f>
        <v>31500</v>
      </c>
      <c r="F117" s="47">
        <f t="shared" ref="F117:G117" si="46">F118</f>
        <v>36600</v>
      </c>
      <c r="G117" s="47">
        <f t="shared" si="46"/>
        <v>20000</v>
      </c>
    </row>
    <row r="118" spans="1:7" x14ac:dyDescent="0.25">
      <c r="A118" s="288">
        <v>32</v>
      </c>
      <c r="B118" s="289"/>
      <c r="C118" s="290"/>
      <c r="D118" s="19" t="s">
        <v>37</v>
      </c>
      <c r="E118" s="47">
        <v>31500</v>
      </c>
      <c r="F118" s="47">
        <f>42600-6000</f>
        <v>36600</v>
      </c>
      <c r="G118" s="47">
        <v>20000</v>
      </c>
    </row>
    <row r="119" spans="1:7" ht="29.25" customHeight="1" x14ac:dyDescent="0.25">
      <c r="A119" s="319" t="s">
        <v>228</v>
      </c>
      <c r="B119" s="320"/>
      <c r="C119" s="320"/>
      <c r="D119" s="321"/>
      <c r="E119" s="112">
        <f>E122</f>
        <v>1000</v>
      </c>
      <c r="F119" s="112">
        <f t="shared" ref="F119:G119" si="47">F122</f>
        <v>1000</v>
      </c>
      <c r="G119" s="112">
        <f t="shared" si="47"/>
        <v>500</v>
      </c>
    </row>
    <row r="120" spans="1:7" ht="15" customHeight="1" x14ac:dyDescent="0.25">
      <c r="A120" s="145" t="s">
        <v>164</v>
      </c>
      <c r="B120" s="150"/>
      <c r="C120" s="150"/>
      <c r="D120" s="150"/>
      <c r="E120" s="149"/>
      <c r="F120" s="149"/>
      <c r="G120" s="149"/>
    </row>
    <row r="121" spans="1:7" x14ac:dyDescent="0.25">
      <c r="A121" s="300" t="s">
        <v>71</v>
      </c>
      <c r="B121" s="301"/>
      <c r="C121" s="301"/>
      <c r="D121" s="301"/>
      <c r="E121" s="53">
        <f>E119</f>
        <v>1000</v>
      </c>
      <c r="F121" s="53">
        <f t="shared" ref="F121:G121" si="48">F119</f>
        <v>1000</v>
      </c>
      <c r="G121" s="53">
        <f t="shared" si="48"/>
        <v>500</v>
      </c>
    </row>
    <row r="122" spans="1:7" x14ac:dyDescent="0.25">
      <c r="A122" s="285">
        <v>3</v>
      </c>
      <c r="B122" s="286"/>
      <c r="C122" s="287"/>
      <c r="D122" s="19" t="s">
        <v>20</v>
      </c>
      <c r="E122" s="47">
        <f>E123</f>
        <v>1000</v>
      </c>
      <c r="F122" s="47">
        <f t="shared" ref="F122:G122" si="49">F123</f>
        <v>1000</v>
      </c>
      <c r="G122" s="47">
        <f t="shared" si="49"/>
        <v>500</v>
      </c>
    </row>
    <row r="123" spans="1:7" x14ac:dyDescent="0.25">
      <c r="A123" s="288">
        <v>32</v>
      </c>
      <c r="B123" s="289"/>
      <c r="C123" s="290"/>
      <c r="D123" s="19" t="s">
        <v>37</v>
      </c>
      <c r="E123" s="47">
        <v>1000</v>
      </c>
      <c r="F123" s="47">
        <v>1000</v>
      </c>
      <c r="G123" s="47">
        <v>500</v>
      </c>
    </row>
    <row r="124" spans="1:7" x14ac:dyDescent="0.25">
      <c r="A124" s="59" t="s">
        <v>229</v>
      </c>
      <c r="B124" s="59"/>
      <c r="C124" s="59"/>
      <c r="D124" s="59"/>
      <c r="E124" s="66">
        <f>E128</f>
        <v>12000</v>
      </c>
      <c r="F124" s="66">
        <f>F128</f>
        <v>10000</v>
      </c>
      <c r="G124" s="66">
        <f t="shared" ref="G124" si="50">G128</f>
        <v>5000</v>
      </c>
    </row>
    <row r="125" spans="1:7" ht="15" customHeight="1" x14ac:dyDescent="0.25">
      <c r="A125" s="145" t="s">
        <v>160</v>
      </c>
      <c r="B125" s="150"/>
      <c r="C125" s="150"/>
      <c r="D125" s="150"/>
      <c r="E125" s="149"/>
      <c r="F125" s="149"/>
      <c r="G125" s="149"/>
    </row>
    <row r="126" spans="1:7" x14ac:dyDescent="0.25">
      <c r="A126" s="43" t="s">
        <v>71</v>
      </c>
      <c r="B126" s="43"/>
      <c r="C126" s="43"/>
      <c r="D126" s="43"/>
      <c r="E126" s="53"/>
      <c r="F126" s="53">
        <f>F124-F127</f>
        <v>2000</v>
      </c>
      <c r="G126" s="53"/>
    </row>
    <row r="127" spans="1:7" x14ac:dyDescent="0.25">
      <c r="A127" s="300" t="s">
        <v>96</v>
      </c>
      <c r="B127" s="301"/>
      <c r="C127" s="301"/>
      <c r="D127" s="301"/>
      <c r="E127" s="53">
        <v>12000</v>
      </c>
      <c r="F127" s="53">
        <v>8000</v>
      </c>
      <c r="G127" s="53">
        <v>5000</v>
      </c>
    </row>
    <row r="128" spans="1:7" x14ac:dyDescent="0.25">
      <c r="A128" s="285">
        <v>3</v>
      </c>
      <c r="B128" s="286"/>
      <c r="C128" s="287"/>
      <c r="D128" s="19" t="s">
        <v>20</v>
      </c>
      <c r="E128" s="40">
        <f>E129</f>
        <v>12000</v>
      </c>
      <c r="F128" s="40">
        <f t="shared" ref="F128:G128" si="51">F129</f>
        <v>10000</v>
      </c>
      <c r="G128" s="40">
        <f t="shared" si="51"/>
        <v>5000</v>
      </c>
    </row>
    <row r="129" spans="1:7" x14ac:dyDescent="0.25">
      <c r="A129" s="288">
        <v>32</v>
      </c>
      <c r="B129" s="289"/>
      <c r="C129" s="290"/>
      <c r="D129" s="19" t="s">
        <v>37</v>
      </c>
      <c r="E129" s="47">
        <v>12000</v>
      </c>
      <c r="F129" s="47">
        <v>10000</v>
      </c>
      <c r="G129" s="47">
        <v>5000</v>
      </c>
    </row>
    <row r="130" spans="1:7" ht="30" customHeight="1" x14ac:dyDescent="0.25">
      <c r="A130" s="355" t="s">
        <v>230</v>
      </c>
      <c r="B130" s="356"/>
      <c r="C130" s="356"/>
      <c r="D130" s="357"/>
      <c r="E130" s="58">
        <f t="shared" ref="E130:G130" si="52">E134</f>
        <v>800</v>
      </c>
      <c r="F130" s="58">
        <f t="shared" si="52"/>
        <v>1000</v>
      </c>
      <c r="G130" s="58">
        <f t="shared" si="52"/>
        <v>600</v>
      </c>
    </row>
    <row r="131" spans="1:7" ht="15" customHeight="1" x14ac:dyDescent="0.25">
      <c r="A131" s="145" t="s">
        <v>160</v>
      </c>
      <c r="B131" s="150"/>
      <c r="C131" s="150"/>
      <c r="D131" s="150"/>
      <c r="E131" s="149"/>
      <c r="F131" s="149"/>
      <c r="G131" s="149"/>
    </row>
    <row r="132" spans="1:7" x14ac:dyDescent="0.25">
      <c r="A132" s="311" t="s">
        <v>294</v>
      </c>
      <c r="B132" s="312"/>
      <c r="C132" s="312"/>
      <c r="D132" s="312"/>
      <c r="E132" s="53">
        <v>50</v>
      </c>
      <c r="F132" s="53">
        <v>40</v>
      </c>
      <c r="G132" s="53">
        <v>40</v>
      </c>
    </row>
    <row r="133" spans="1:7" x14ac:dyDescent="0.25">
      <c r="A133" s="300" t="s">
        <v>71</v>
      </c>
      <c r="B133" s="301"/>
      <c r="C133" s="301"/>
      <c r="D133" s="301"/>
      <c r="E133" s="53">
        <f>E130-E132</f>
        <v>750</v>
      </c>
      <c r="F133" s="53">
        <f>F130-F132</f>
        <v>960</v>
      </c>
      <c r="G133" s="53">
        <f>G130-G132</f>
        <v>560</v>
      </c>
    </row>
    <row r="134" spans="1:7" x14ac:dyDescent="0.25">
      <c r="A134" s="285">
        <v>3</v>
      </c>
      <c r="B134" s="286"/>
      <c r="C134" s="287"/>
      <c r="D134" s="19" t="s">
        <v>20</v>
      </c>
      <c r="E134" s="40">
        <f>E135</f>
        <v>800</v>
      </c>
      <c r="F134" s="40">
        <f t="shared" ref="F134:G134" si="53">F135</f>
        <v>1000</v>
      </c>
      <c r="G134" s="40">
        <f t="shared" si="53"/>
        <v>600</v>
      </c>
    </row>
    <row r="135" spans="1:7" x14ac:dyDescent="0.25">
      <c r="A135" s="288">
        <v>32</v>
      </c>
      <c r="B135" s="289"/>
      <c r="C135" s="290"/>
      <c r="D135" s="19" t="s">
        <v>37</v>
      </c>
      <c r="E135" s="47">
        <v>800</v>
      </c>
      <c r="F135" s="47">
        <v>1000</v>
      </c>
      <c r="G135" s="47">
        <v>600</v>
      </c>
    </row>
    <row r="136" spans="1:7" x14ac:dyDescent="0.25">
      <c r="A136" s="297" t="s">
        <v>231</v>
      </c>
      <c r="B136" s="298"/>
      <c r="C136" s="298"/>
      <c r="D136" s="299"/>
      <c r="E136" s="58">
        <f t="shared" ref="E136:G136" si="54">E141</f>
        <v>22000</v>
      </c>
      <c r="F136" s="58">
        <f t="shared" si="54"/>
        <v>23000</v>
      </c>
      <c r="G136" s="58">
        <f t="shared" si="54"/>
        <v>19000</v>
      </c>
    </row>
    <row r="137" spans="1:7" ht="15" customHeight="1" x14ac:dyDescent="0.25">
      <c r="A137" s="145" t="s">
        <v>163</v>
      </c>
      <c r="B137" s="150"/>
      <c r="C137" s="150"/>
      <c r="D137" s="150"/>
      <c r="E137" s="149"/>
      <c r="F137" s="149"/>
      <c r="G137" s="149"/>
    </row>
    <row r="138" spans="1:7" x14ac:dyDescent="0.25">
      <c r="A138" s="311" t="s">
        <v>71</v>
      </c>
      <c r="B138" s="312"/>
      <c r="C138" s="312"/>
      <c r="D138" s="397"/>
      <c r="E138" s="53">
        <f>E136</f>
        <v>22000</v>
      </c>
      <c r="F138" s="53"/>
      <c r="G138" s="53"/>
    </row>
    <row r="139" spans="1:7" x14ac:dyDescent="0.25">
      <c r="A139" s="300" t="s">
        <v>96</v>
      </c>
      <c r="B139" s="301"/>
      <c r="C139" s="301"/>
      <c r="D139" s="301"/>
      <c r="E139" s="53"/>
      <c r="F139" s="53">
        <v>21810</v>
      </c>
      <c r="G139" s="53">
        <v>19000</v>
      </c>
    </row>
    <row r="140" spans="1:7" x14ac:dyDescent="0.25">
      <c r="A140" s="43" t="s">
        <v>76</v>
      </c>
      <c r="B140" s="43"/>
      <c r="C140" s="43"/>
      <c r="D140" s="43"/>
      <c r="E140" s="53"/>
      <c r="F140" s="53">
        <f>F136-F139</f>
        <v>1190</v>
      </c>
      <c r="G140" s="53"/>
    </row>
    <row r="141" spans="1:7" x14ac:dyDescent="0.25">
      <c r="A141" s="285">
        <v>3</v>
      </c>
      <c r="B141" s="286"/>
      <c r="C141" s="287"/>
      <c r="D141" s="19" t="s">
        <v>20</v>
      </c>
      <c r="E141" s="47">
        <f>E142</f>
        <v>22000</v>
      </c>
      <c r="F141" s="47">
        <f t="shared" ref="F141:G141" si="55">F142</f>
        <v>23000</v>
      </c>
      <c r="G141" s="47">
        <f t="shared" si="55"/>
        <v>19000</v>
      </c>
    </row>
    <row r="142" spans="1:7" x14ac:dyDescent="0.25">
      <c r="A142" s="288">
        <v>32</v>
      </c>
      <c r="B142" s="289"/>
      <c r="C142" s="290"/>
      <c r="D142" s="19" t="s">
        <v>37</v>
      </c>
      <c r="E142" s="47">
        <v>22000</v>
      </c>
      <c r="F142" s="47">
        <v>23000</v>
      </c>
      <c r="G142" s="47">
        <v>19000</v>
      </c>
    </row>
    <row r="143" spans="1:7" x14ac:dyDescent="0.25">
      <c r="A143" s="313" t="s">
        <v>141</v>
      </c>
      <c r="B143" s="314"/>
      <c r="C143" s="314"/>
      <c r="D143" s="315"/>
      <c r="E143" s="75">
        <f>E144+E149+E156+E162+E169+E174</f>
        <v>505000</v>
      </c>
      <c r="F143" s="75">
        <f>F144+F149+F156+F162+F169+F174+F181</f>
        <v>474800</v>
      </c>
      <c r="G143" s="75">
        <f>G144+G149+G156+G162+G169+G174+G181</f>
        <v>332000</v>
      </c>
    </row>
    <row r="144" spans="1:7" x14ac:dyDescent="0.25">
      <c r="A144" s="331" t="s">
        <v>232</v>
      </c>
      <c r="B144" s="331"/>
      <c r="C144" s="331"/>
      <c r="D144" s="331"/>
      <c r="E144" s="60">
        <f t="shared" ref="E144:G144" si="56">E147</f>
        <v>25000</v>
      </c>
      <c r="F144" s="60">
        <f t="shared" si="56"/>
        <v>0</v>
      </c>
      <c r="G144" s="60">
        <f t="shared" si="56"/>
        <v>0</v>
      </c>
    </row>
    <row r="145" spans="1:7" x14ac:dyDescent="0.25">
      <c r="A145" s="145" t="s">
        <v>160</v>
      </c>
      <c r="B145" s="151"/>
      <c r="C145" s="151"/>
      <c r="D145" s="152"/>
      <c r="E145" s="153"/>
      <c r="F145" s="153"/>
      <c r="G145" s="153"/>
    </row>
    <row r="146" spans="1:7" x14ac:dyDescent="0.25">
      <c r="A146" s="43" t="s">
        <v>71</v>
      </c>
      <c r="B146" s="43"/>
      <c r="C146" s="43"/>
      <c r="D146" s="43"/>
      <c r="E146" s="53">
        <f>E144</f>
        <v>25000</v>
      </c>
      <c r="F146" s="53"/>
      <c r="G146" s="53"/>
    </row>
    <row r="147" spans="1:7" ht="25.5" x14ac:dyDescent="0.25">
      <c r="A147" s="285">
        <v>4</v>
      </c>
      <c r="B147" s="286"/>
      <c r="C147" s="287"/>
      <c r="D147" s="19" t="s">
        <v>5</v>
      </c>
      <c r="E147" s="47">
        <f>E148</f>
        <v>25000</v>
      </c>
      <c r="F147" s="47"/>
      <c r="G147" s="47"/>
    </row>
    <row r="148" spans="1:7" ht="25.5" x14ac:dyDescent="0.25">
      <c r="A148" s="115"/>
      <c r="B148" s="116"/>
      <c r="C148" s="116">
        <v>45</v>
      </c>
      <c r="D148" s="117" t="s">
        <v>99</v>
      </c>
      <c r="E148" s="47">
        <v>25000</v>
      </c>
      <c r="F148" s="47"/>
      <c r="G148" s="47"/>
    </row>
    <row r="149" spans="1:7" ht="15" customHeight="1" x14ac:dyDescent="0.25">
      <c r="A149" s="188" t="s">
        <v>233</v>
      </c>
      <c r="B149" s="189"/>
      <c r="C149" s="189"/>
      <c r="D149" s="189"/>
      <c r="E149" s="307">
        <f>E154</f>
        <v>30000</v>
      </c>
      <c r="F149" s="307">
        <f>F154</f>
        <v>66600</v>
      </c>
      <c r="G149" s="307">
        <f>G154</f>
        <v>0</v>
      </c>
    </row>
    <row r="150" spans="1:7" x14ac:dyDescent="0.25">
      <c r="A150" s="187" t="s">
        <v>97</v>
      </c>
      <c r="B150" s="69"/>
      <c r="C150" s="69"/>
      <c r="D150" s="69"/>
      <c r="E150" s="308"/>
      <c r="F150" s="308"/>
      <c r="G150" s="308"/>
    </row>
    <row r="151" spans="1:7" x14ac:dyDescent="0.25">
      <c r="A151" s="145" t="s">
        <v>160</v>
      </c>
      <c r="B151" s="151"/>
      <c r="C151" s="151"/>
      <c r="D151" s="152"/>
      <c r="E151" s="153"/>
      <c r="F151" s="153"/>
      <c r="G151" s="153"/>
    </row>
    <row r="152" spans="1:7" x14ac:dyDescent="0.25">
      <c r="A152" s="43" t="s">
        <v>71</v>
      </c>
      <c r="B152" s="43"/>
      <c r="C152" s="43"/>
      <c r="D152" s="43"/>
      <c r="E152" s="53">
        <f>E149</f>
        <v>30000</v>
      </c>
      <c r="F152" s="53"/>
      <c r="G152" s="53"/>
    </row>
    <row r="153" spans="1:7" x14ac:dyDescent="0.25">
      <c r="A153" s="43" t="s">
        <v>76</v>
      </c>
      <c r="B153" s="43"/>
      <c r="C153" s="43"/>
      <c r="D153" s="43"/>
      <c r="E153" s="53"/>
      <c r="F153" s="53">
        <v>66600</v>
      </c>
      <c r="G153" s="53"/>
    </row>
    <row r="154" spans="1:7" ht="25.5" x14ac:dyDescent="0.25">
      <c r="A154" s="285">
        <v>4</v>
      </c>
      <c r="B154" s="286"/>
      <c r="C154" s="287"/>
      <c r="D154" s="19" t="s">
        <v>5</v>
      </c>
      <c r="E154" s="47">
        <f>E155</f>
        <v>30000</v>
      </c>
      <c r="F154" s="47">
        <f t="shared" ref="F154:G154" si="57">F155</f>
        <v>66600</v>
      </c>
      <c r="G154" s="47">
        <f t="shared" si="57"/>
        <v>0</v>
      </c>
    </row>
    <row r="155" spans="1:7" ht="25.5" x14ac:dyDescent="0.25">
      <c r="A155" s="115"/>
      <c r="B155" s="116"/>
      <c r="C155" s="116">
        <v>45</v>
      </c>
      <c r="D155" s="117" t="s">
        <v>99</v>
      </c>
      <c r="E155" s="47">
        <v>30000</v>
      </c>
      <c r="F155" s="47">
        <f>70000-3400</f>
        <v>66600</v>
      </c>
      <c r="G155" s="47"/>
    </row>
    <row r="156" spans="1:7" ht="30.75" customHeight="1" x14ac:dyDescent="0.25">
      <c r="A156" s="358" t="s">
        <v>234</v>
      </c>
      <c r="B156" s="358"/>
      <c r="C156" s="358"/>
      <c r="D156" s="358"/>
      <c r="E156" s="62">
        <f t="shared" ref="E156:G156" si="58">E160</f>
        <v>60000</v>
      </c>
      <c r="F156" s="62">
        <f t="shared" si="58"/>
        <v>0</v>
      </c>
      <c r="G156" s="62">
        <f t="shared" si="58"/>
        <v>101000</v>
      </c>
    </row>
    <row r="157" spans="1:7" x14ac:dyDescent="0.25">
      <c r="A157" s="154" t="s">
        <v>160</v>
      </c>
      <c r="B157" s="151"/>
      <c r="C157" s="151"/>
      <c r="D157" s="152"/>
      <c r="E157" s="153"/>
      <c r="F157" s="153"/>
      <c r="G157" s="153"/>
    </row>
    <row r="158" spans="1:7" x14ac:dyDescent="0.25">
      <c r="A158" s="43" t="s">
        <v>71</v>
      </c>
      <c r="B158" s="43"/>
      <c r="C158" s="43"/>
      <c r="D158" s="43"/>
      <c r="E158" s="53">
        <v>30000</v>
      </c>
      <c r="F158" s="53"/>
      <c r="G158" s="53">
        <f>G156-G159</f>
        <v>21000</v>
      </c>
    </row>
    <row r="159" spans="1:7" x14ac:dyDescent="0.25">
      <c r="A159" s="43" t="s">
        <v>286</v>
      </c>
      <c r="B159" s="43"/>
      <c r="C159" s="43"/>
      <c r="D159" s="43"/>
      <c r="E159" s="53">
        <f>E156-E158</f>
        <v>30000</v>
      </c>
      <c r="F159" s="53"/>
      <c r="G159" s="53">
        <v>80000</v>
      </c>
    </row>
    <row r="160" spans="1:7" ht="25.5" x14ac:dyDescent="0.25">
      <c r="A160" s="285">
        <v>4</v>
      </c>
      <c r="B160" s="286"/>
      <c r="C160" s="287"/>
      <c r="D160" s="19" t="s">
        <v>5</v>
      </c>
      <c r="E160" s="47">
        <f>E161</f>
        <v>60000</v>
      </c>
      <c r="F160" s="47">
        <f t="shared" ref="F160:G160" si="59">F161</f>
        <v>0</v>
      </c>
      <c r="G160" s="47">
        <f t="shared" si="59"/>
        <v>101000</v>
      </c>
    </row>
    <row r="161" spans="1:7" ht="25.5" x14ac:dyDescent="0.25">
      <c r="A161" s="288">
        <v>42</v>
      </c>
      <c r="B161" s="289"/>
      <c r="C161" s="290"/>
      <c r="D161" s="19" t="s">
        <v>94</v>
      </c>
      <c r="E161" s="47">
        <v>60000</v>
      </c>
      <c r="F161" s="47"/>
      <c r="G161" s="47">
        <v>101000</v>
      </c>
    </row>
    <row r="162" spans="1:7" s="108" customFormat="1" ht="15" customHeight="1" x14ac:dyDescent="0.2">
      <c r="A162" s="389" t="s">
        <v>235</v>
      </c>
      <c r="B162" s="390"/>
      <c r="C162" s="390"/>
      <c r="D162" s="391"/>
      <c r="E162" s="305">
        <f>E167</f>
        <v>90000</v>
      </c>
      <c r="F162" s="305"/>
      <c r="G162" s="305"/>
    </row>
    <row r="163" spans="1:7" ht="29.25" customHeight="1" x14ac:dyDescent="0.25">
      <c r="A163" s="282"/>
      <c r="B163" s="283"/>
      <c r="C163" s="283"/>
      <c r="D163" s="284"/>
      <c r="E163" s="306"/>
      <c r="F163" s="306"/>
      <c r="G163" s="306"/>
    </row>
    <row r="164" spans="1:7" x14ac:dyDescent="0.25">
      <c r="A164" s="154" t="s">
        <v>160</v>
      </c>
      <c r="B164" s="151"/>
      <c r="C164" s="151"/>
      <c r="D164" s="152"/>
      <c r="E164" s="153"/>
      <c r="F164" s="153"/>
      <c r="G164" s="153"/>
    </row>
    <row r="165" spans="1:7" x14ac:dyDescent="0.25">
      <c r="A165" s="43" t="s">
        <v>71</v>
      </c>
      <c r="B165" s="43"/>
      <c r="C165" s="43"/>
      <c r="D165" s="43"/>
      <c r="E165" s="53">
        <v>40000</v>
      </c>
      <c r="F165" s="53"/>
      <c r="G165" s="53"/>
    </row>
    <row r="166" spans="1:7" x14ac:dyDescent="0.25">
      <c r="A166" s="43" t="s">
        <v>286</v>
      </c>
      <c r="B166" s="43"/>
      <c r="C166" s="43"/>
      <c r="D166" s="43"/>
      <c r="E166" s="53">
        <f>E162-E165</f>
        <v>50000</v>
      </c>
      <c r="F166" s="53"/>
      <c r="G166" s="53"/>
    </row>
    <row r="167" spans="1:7" ht="25.5" x14ac:dyDescent="0.25">
      <c r="A167" s="285">
        <v>4</v>
      </c>
      <c r="B167" s="286"/>
      <c r="C167" s="287"/>
      <c r="D167" s="19" t="s">
        <v>5</v>
      </c>
      <c r="E167" s="47">
        <f>E168</f>
        <v>90000</v>
      </c>
      <c r="F167" s="47"/>
      <c r="G167" s="47"/>
    </row>
    <row r="168" spans="1:7" ht="25.5" x14ac:dyDescent="0.25">
      <c r="A168" s="288">
        <v>42</v>
      </c>
      <c r="B168" s="289"/>
      <c r="C168" s="290"/>
      <c r="D168" s="19" t="s">
        <v>94</v>
      </c>
      <c r="E168" s="47">
        <v>90000</v>
      </c>
      <c r="F168" s="47"/>
      <c r="G168" s="47"/>
    </row>
    <row r="169" spans="1:7" ht="30" customHeight="1" x14ac:dyDescent="0.25">
      <c r="A169" s="358" t="s">
        <v>236</v>
      </c>
      <c r="B169" s="358"/>
      <c r="C169" s="358"/>
      <c r="D169" s="358"/>
      <c r="E169" s="190">
        <f>E172</f>
        <v>230000</v>
      </c>
      <c r="F169" s="190"/>
      <c r="G169" s="190"/>
    </row>
    <row r="170" spans="1:7" x14ac:dyDescent="0.25">
      <c r="A170" s="154" t="s">
        <v>160</v>
      </c>
      <c r="B170" s="151"/>
      <c r="C170" s="151"/>
      <c r="D170" s="152"/>
      <c r="E170" s="153"/>
      <c r="F170" s="153"/>
      <c r="G170" s="153"/>
    </row>
    <row r="171" spans="1:7" x14ac:dyDescent="0.25">
      <c r="A171" s="43" t="s">
        <v>286</v>
      </c>
      <c r="B171" s="43"/>
      <c r="C171" s="43"/>
      <c r="D171" s="43"/>
      <c r="E171" s="53">
        <f>E169</f>
        <v>230000</v>
      </c>
      <c r="F171" s="53"/>
      <c r="G171" s="53"/>
    </row>
    <row r="172" spans="1:7" ht="25.5" x14ac:dyDescent="0.25">
      <c r="A172" s="285">
        <v>4</v>
      </c>
      <c r="B172" s="286"/>
      <c r="C172" s="287"/>
      <c r="D172" s="19" t="s">
        <v>5</v>
      </c>
      <c r="E172" s="47">
        <f>E173</f>
        <v>230000</v>
      </c>
      <c r="F172" s="47"/>
      <c r="G172" s="47"/>
    </row>
    <row r="173" spans="1:7" ht="25.5" x14ac:dyDescent="0.25">
      <c r="A173" s="288">
        <v>42</v>
      </c>
      <c r="B173" s="289"/>
      <c r="C173" s="290"/>
      <c r="D173" s="19" t="s">
        <v>94</v>
      </c>
      <c r="E173" s="47">
        <v>230000</v>
      </c>
      <c r="F173" s="47"/>
      <c r="G173" s="47"/>
    </row>
    <row r="174" spans="1:7" ht="30" customHeight="1" x14ac:dyDescent="0.25">
      <c r="A174" s="358" t="s">
        <v>237</v>
      </c>
      <c r="B174" s="358"/>
      <c r="C174" s="358"/>
      <c r="D174" s="358"/>
      <c r="E174" s="112">
        <f>E179</f>
        <v>70000</v>
      </c>
      <c r="F174" s="57"/>
      <c r="G174" s="57"/>
    </row>
    <row r="175" spans="1:7" x14ac:dyDescent="0.25">
      <c r="A175" s="154" t="s">
        <v>160</v>
      </c>
      <c r="B175" s="151"/>
      <c r="C175" s="151"/>
      <c r="D175" s="152"/>
      <c r="E175" s="153"/>
      <c r="F175" s="153"/>
      <c r="G175" s="153"/>
    </row>
    <row r="176" spans="1:7" x14ac:dyDescent="0.25">
      <c r="A176" s="43" t="s">
        <v>286</v>
      </c>
      <c r="B176" s="43"/>
      <c r="C176" s="43"/>
      <c r="D176" s="43"/>
      <c r="E176" s="53">
        <f>35000</f>
        <v>35000</v>
      </c>
      <c r="F176" s="53"/>
      <c r="G176" s="53"/>
    </row>
    <row r="177" spans="1:7" ht="29.25" customHeight="1" x14ac:dyDescent="0.25">
      <c r="A177" s="309" t="s">
        <v>287</v>
      </c>
      <c r="B177" s="310"/>
      <c r="C177" s="310"/>
      <c r="D177" s="310"/>
      <c r="E177" s="53">
        <v>12000</v>
      </c>
      <c r="F177" s="53"/>
      <c r="G177" s="53"/>
    </row>
    <row r="178" spans="1:7" x14ac:dyDescent="0.25">
      <c r="A178" s="43" t="s">
        <v>71</v>
      </c>
      <c r="B178" s="43"/>
      <c r="C178" s="43"/>
      <c r="D178" s="43"/>
      <c r="E178" s="53">
        <f>E174-E176-E177</f>
        <v>23000</v>
      </c>
      <c r="F178" s="53"/>
      <c r="G178" s="53"/>
    </row>
    <row r="179" spans="1:7" ht="25.5" x14ac:dyDescent="0.25">
      <c r="A179" s="285">
        <v>4</v>
      </c>
      <c r="B179" s="286"/>
      <c r="C179" s="287"/>
      <c r="D179" s="19" t="s">
        <v>5</v>
      </c>
      <c r="E179" s="47">
        <f>E180</f>
        <v>70000</v>
      </c>
      <c r="F179" s="47"/>
      <c r="G179" s="47"/>
    </row>
    <row r="180" spans="1:7" ht="25.5" x14ac:dyDescent="0.25">
      <c r="A180" s="288">
        <v>42</v>
      </c>
      <c r="B180" s="289"/>
      <c r="C180" s="290"/>
      <c r="D180" s="19" t="s">
        <v>94</v>
      </c>
      <c r="E180" s="47">
        <v>70000</v>
      </c>
      <c r="F180" s="47"/>
      <c r="G180" s="47"/>
    </row>
    <row r="181" spans="1:7" ht="30.75" customHeight="1" x14ac:dyDescent="0.25">
      <c r="A181" s="358" t="s">
        <v>238</v>
      </c>
      <c r="B181" s="358"/>
      <c r="C181" s="358"/>
      <c r="D181" s="358"/>
      <c r="E181" s="57"/>
      <c r="F181" s="112">
        <f>F185</f>
        <v>408200</v>
      </c>
      <c r="G181" s="112">
        <f>G185</f>
        <v>231000</v>
      </c>
    </row>
    <row r="182" spans="1:7" x14ac:dyDescent="0.25">
      <c r="A182" s="154" t="s">
        <v>160</v>
      </c>
      <c r="B182" s="151"/>
      <c r="C182" s="151"/>
      <c r="D182" s="152"/>
      <c r="E182" s="192"/>
      <c r="F182" s="192"/>
      <c r="G182" s="192"/>
    </row>
    <row r="183" spans="1:7" x14ac:dyDescent="0.25">
      <c r="A183" s="43" t="s">
        <v>71</v>
      </c>
      <c r="B183" s="43"/>
      <c r="C183" s="43"/>
      <c r="D183" s="43"/>
      <c r="E183" s="53"/>
      <c r="F183" s="53">
        <f>F181-F184</f>
        <v>56906</v>
      </c>
      <c r="G183" s="53">
        <f>G181-G184</f>
        <v>29296</v>
      </c>
    </row>
    <row r="184" spans="1:7" x14ac:dyDescent="0.25">
      <c r="A184" s="43" t="s">
        <v>76</v>
      </c>
      <c r="B184" s="43"/>
      <c r="C184" s="43"/>
      <c r="D184" s="43"/>
      <c r="E184" s="53"/>
      <c r="F184" s="53">
        <f>200000+151294</f>
        <v>351294</v>
      </c>
      <c r="G184" s="53">
        <f>200000+1704</f>
        <v>201704</v>
      </c>
    </row>
    <row r="185" spans="1:7" ht="25.5" x14ac:dyDescent="0.25">
      <c r="A185" s="285">
        <v>4</v>
      </c>
      <c r="B185" s="286"/>
      <c r="C185" s="287"/>
      <c r="D185" s="19" t="s">
        <v>5</v>
      </c>
      <c r="E185" s="47"/>
      <c r="F185" s="47">
        <f>F186</f>
        <v>408200</v>
      </c>
      <c r="G185" s="47">
        <f>G186</f>
        <v>231000</v>
      </c>
    </row>
    <row r="186" spans="1:7" ht="25.5" x14ac:dyDescent="0.25">
      <c r="A186" s="288">
        <v>42</v>
      </c>
      <c r="B186" s="289"/>
      <c r="C186" s="290"/>
      <c r="D186" s="19" t="s">
        <v>94</v>
      </c>
      <c r="E186" s="47"/>
      <c r="F186" s="47">
        <v>408200</v>
      </c>
      <c r="G186" s="47">
        <v>231000</v>
      </c>
    </row>
    <row r="187" spans="1:7" x14ac:dyDescent="0.25">
      <c r="A187" s="402" t="s">
        <v>142</v>
      </c>
      <c r="B187" s="403"/>
      <c r="C187" s="403"/>
      <c r="D187" s="403"/>
      <c r="E187" s="400">
        <f t="shared" ref="E187:G187" si="60">E189</f>
        <v>30000</v>
      </c>
      <c r="F187" s="400">
        <f t="shared" si="60"/>
        <v>40000</v>
      </c>
      <c r="G187" s="400">
        <f t="shared" si="60"/>
        <v>0</v>
      </c>
    </row>
    <row r="188" spans="1:7" x14ac:dyDescent="0.25">
      <c r="A188" s="77" t="s">
        <v>82</v>
      </c>
      <c r="B188" s="78"/>
      <c r="C188" s="78"/>
      <c r="D188" s="78"/>
      <c r="E188" s="401"/>
      <c r="F188" s="401"/>
      <c r="G188" s="401"/>
    </row>
    <row r="189" spans="1:7" x14ac:dyDescent="0.25">
      <c r="A189" s="383" t="s">
        <v>239</v>
      </c>
      <c r="B189" s="384"/>
      <c r="C189" s="384"/>
      <c r="D189" s="396"/>
      <c r="E189" s="398">
        <f>E193</f>
        <v>30000</v>
      </c>
      <c r="F189" s="398">
        <f t="shared" ref="F189:G189" si="61">F193</f>
        <v>40000</v>
      </c>
      <c r="G189" s="398">
        <f t="shared" si="61"/>
        <v>0</v>
      </c>
    </row>
    <row r="190" spans="1:7" x14ac:dyDescent="0.25">
      <c r="A190" s="341" t="s">
        <v>98</v>
      </c>
      <c r="B190" s="342"/>
      <c r="C190" s="342"/>
      <c r="D190" s="342"/>
      <c r="E190" s="399"/>
      <c r="F190" s="399"/>
      <c r="G190" s="399"/>
    </row>
    <row r="191" spans="1:7" x14ac:dyDescent="0.25">
      <c r="A191" s="154" t="s">
        <v>165</v>
      </c>
      <c r="B191" s="151"/>
      <c r="C191" s="151"/>
      <c r="D191" s="152"/>
      <c r="E191" s="153"/>
      <c r="F191" s="153"/>
      <c r="G191" s="153"/>
    </row>
    <row r="192" spans="1:7" x14ac:dyDescent="0.25">
      <c r="A192" s="43" t="s">
        <v>71</v>
      </c>
      <c r="B192" s="43"/>
      <c r="C192" s="43"/>
      <c r="D192" s="43"/>
      <c r="E192" s="53">
        <f>E189</f>
        <v>30000</v>
      </c>
      <c r="F192" s="53">
        <f t="shared" ref="F192:G192" si="62">F189</f>
        <v>40000</v>
      </c>
      <c r="G192" s="53">
        <f t="shared" si="62"/>
        <v>0</v>
      </c>
    </row>
    <row r="193" spans="1:7" ht="25.5" x14ac:dyDescent="0.25">
      <c r="A193" s="285">
        <v>4</v>
      </c>
      <c r="B193" s="286"/>
      <c r="C193" s="287"/>
      <c r="D193" s="39" t="s">
        <v>5</v>
      </c>
      <c r="E193" s="47">
        <f>E194</f>
        <v>30000</v>
      </c>
      <c r="F193" s="47">
        <f t="shared" ref="F193:G193" si="63">F194</f>
        <v>40000</v>
      </c>
      <c r="G193" s="47">
        <f t="shared" si="63"/>
        <v>0</v>
      </c>
    </row>
    <row r="194" spans="1:7" ht="25.5" x14ac:dyDescent="0.25">
      <c r="A194" s="288">
        <v>42</v>
      </c>
      <c r="B194" s="289"/>
      <c r="C194" s="290"/>
      <c r="D194" s="39" t="s">
        <v>94</v>
      </c>
      <c r="E194" s="47">
        <v>30000</v>
      </c>
      <c r="F194" s="47">
        <v>40000</v>
      </c>
      <c r="G194" s="47"/>
    </row>
    <row r="195" spans="1:7" x14ac:dyDescent="0.25">
      <c r="A195" s="73" t="s">
        <v>143</v>
      </c>
      <c r="B195" s="73"/>
      <c r="C195" s="73"/>
      <c r="D195" s="73"/>
      <c r="E195" s="76">
        <f>E196+E202+E207</f>
        <v>27240</v>
      </c>
      <c r="F195" s="76">
        <f>F196+F202+F207</f>
        <v>31400</v>
      </c>
      <c r="G195" s="76">
        <f>G196+G202+G207</f>
        <v>17100</v>
      </c>
    </row>
    <row r="196" spans="1:7" x14ac:dyDescent="0.25">
      <c r="A196" s="54" t="s">
        <v>240</v>
      </c>
      <c r="B196" s="54"/>
      <c r="C196" s="54"/>
      <c r="D196" s="54"/>
      <c r="E196" s="68">
        <f t="shared" ref="E196:G196" si="64">E199</f>
        <v>16540</v>
      </c>
      <c r="F196" s="68">
        <f t="shared" si="64"/>
        <v>16400</v>
      </c>
      <c r="G196" s="68">
        <f t="shared" si="64"/>
        <v>12100</v>
      </c>
    </row>
    <row r="197" spans="1:7" x14ac:dyDescent="0.25">
      <c r="A197" s="154" t="s">
        <v>166</v>
      </c>
      <c r="B197" s="151"/>
      <c r="C197" s="151"/>
      <c r="D197" s="152"/>
      <c r="E197" s="153"/>
      <c r="F197" s="153"/>
      <c r="G197" s="153"/>
    </row>
    <row r="198" spans="1:7" x14ac:dyDescent="0.25">
      <c r="A198" s="43" t="s">
        <v>71</v>
      </c>
      <c r="B198" s="43"/>
      <c r="C198" s="43"/>
      <c r="D198" s="43"/>
      <c r="E198" s="53">
        <f>E196</f>
        <v>16540</v>
      </c>
      <c r="F198" s="53">
        <f t="shared" ref="F198:G198" si="65">F196</f>
        <v>16400</v>
      </c>
      <c r="G198" s="53">
        <f t="shared" si="65"/>
        <v>12100</v>
      </c>
    </row>
    <row r="199" spans="1:7" x14ac:dyDescent="0.25">
      <c r="A199" s="285">
        <v>3</v>
      </c>
      <c r="B199" s="286"/>
      <c r="C199" s="287"/>
      <c r="D199" s="19" t="s">
        <v>20</v>
      </c>
      <c r="E199" s="40">
        <f>E200+E201</f>
        <v>16540</v>
      </c>
      <c r="F199" s="40">
        <f t="shared" ref="F199:G199" si="66">F200+F201</f>
        <v>16400</v>
      </c>
      <c r="G199" s="40">
        <f t="shared" si="66"/>
        <v>12100</v>
      </c>
    </row>
    <row r="200" spans="1:7" x14ac:dyDescent="0.25">
      <c r="A200" s="288">
        <v>32</v>
      </c>
      <c r="B200" s="289"/>
      <c r="C200" s="290"/>
      <c r="D200" s="19" t="s">
        <v>37</v>
      </c>
      <c r="E200" s="47">
        <v>14140</v>
      </c>
      <c r="F200" s="47">
        <v>14000</v>
      </c>
      <c r="G200" s="47">
        <v>12000</v>
      </c>
    </row>
    <row r="201" spans="1:7" ht="25.5" x14ac:dyDescent="0.25">
      <c r="A201" s="302">
        <v>36</v>
      </c>
      <c r="B201" s="303"/>
      <c r="C201" s="304"/>
      <c r="D201" s="39" t="s">
        <v>53</v>
      </c>
      <c r="E201" s="47">
        <v>2400</v>
      </c>
      <c r="F201" s="47">
        <v>2400</v>
      </c>
      <c r="G201" s="47">
        <v>100</v>
      </c>
    </row>
    <row r="202" spans="1:7" ht="29.25" customHeight="1" x14ac:dyDescent="0.25">
      <c r="A202" s="355" t="s">
        <v>241</v>
      </c>
      <c r="B202" s="356"/>
      <c r="C202" s="356"/>
      <c r="D202" s="357"/>
      <c r="E202" s="58">
        <f>E205</f>
        <v>9600</v>
      </c>
      <c r="F202" s="58">
        <f t="shared" ref="F202:G202" si="67">F205</f>
        <v>9000</v>
      </c>
      <c r="G202" s="58">
        <f t="shared" si="67"/>
        <v>5000</v>
      </c>
    </row>
    <row r="203" spans="1:7" x14ac:dyDescent="0.25">
      <c r="A203" s="154" t="s">
        <v>167</v>
      </c>
      <c r="B203" s="151"/>
      <c r="C203" s="151"/>
      <c r="D203" s="152"/>
      <c r="E203" s="153"/>
      <c r="F203" s="153"/>
      <c r="G203" s="153"/>
    </row>
    <row r="204" spans="1:7" x14ac:dyDescent="0.25">
      <c r="A204" s="43" t="s">
        <v>71</v>
      </c>
      <c r="B204" s="43"/>
      <c r="C204" s="43"/>
      <c r="D204" s="43"/>
      <c r="E204" s="53">
        <f>E202</f>
        <v>9600</v>
      </c>
      <c r="F204" s="53">
        <f t="shared" ref="F204:G204" si="68">F202</f>
        <v>9000</v>
      </c>
      <c r="G204" s="53">
        <f t="shared" si="68"/>
        <v>5000</v>
      </c>
    </row>
    <row r="205" spans="1:7" x14ac:dyDescent="0.25">
      <c r="A205" s="285">
        <v>3</v>
      </c>
      <c r="B205" s="286"/>
      <c r="C205" s="287"/>
      <c r="D205" s="19" t="s">
        <v>20</v>
      </c>
      <c r="E205" s="40">
        <f>E206</f>
        <v>9600</v>
      </c>
      <c r="F205" s="40">
        <f t="shared" ref="F205:G205" si="69">F206</f>
        <v>9000</v>
      </c>
      <c r="G205" s="40">
        <f t="shared" si="69"/>
        <v>5000</v>
      </c>
    </row>
    <row r="206" spans="1:7" x14ac:dyDescent="0.25">
      <c r="A206" s="288">
        <v>32</v>
      </c>
      <c r="B206" s="289"/>
      <c r="C206" s="290"/>
      <c r="D206" s="19" t="s">
        <v>37</v>
      </c>
      <c r="E206" s="47">
        <v>9600</v>
      </c>
      <c r="F206" s="47">
        <v>9000</v>
      </c>
      <c r="G206" s="47">
        <v>5000</v>
      </c>
    </row>
    <row r="207" spans="1:7" x14ac:dyDescent="0.25">
      <c r="A207" s="297" t="s">
        <v>242</v>
      </c>
      <c r="B207" s="298"/>
      <c r="C207" s="298"/>
      <c r="D207" s="299"/>
      <c r="E207" s="58">
        <f t="shared" ref="E207:G207" si="70">E211+E213</f>
        <v>1100</v>
      </c>
      <c r="F207" s="58">
        <f t="shared" si="70"/>
        <v>6000</v>
      </c>
      <c r="G207" s="58">
        <f t="shared" si="70"/>
        <v>0</v>
      </c>
    </row>
    <row r="208" spans="1:7" x14ac:dyDescent="0.25">
      <c r="A208" s="154" t="s">
        <v>168</v>
      </c>
      <c r="B208" s="151"/>
      <c r="C208" s="151"/>
      <c r="D208" s="152"/>
      <c r="E208" s="153"/>
      <c r="F208" s="153"/>
      <c r="G208" s="153"/>
    </row>
    <row r="209" spans="1:7" x14ac:dyDescent="0.25">
      <c r="A209" s="43" t="s">
        <v>71</v>
      </c>
      <c r="B209" s="43"/>
      <c r="C209" s="43"/>
      <c r="D209" s="43"/>
      <c r="E209" s="53">
        <f>E207</f>
        <v>1100</v>
      </c>
      <c r="F209" s="53"/>
      <c r="G209" s="53"/>
    </row>
    <row r="210" spans="1:7" x14ac:dyDescent="0.25">
      <c r="A210" s="43" t="s">
        <v>76</v>
      </c>
      <c r="B210" s="43"/>
      <c r="C210" s="43"/>
      <c r="D210" s="43"/>
      <c r="E210" s="53"/>
      <c r="F210" s="53">
        <f>F207</f>
        <v>6000</v>
      </c>
      <c r="G210" s="53"/>
    </row>
    <row r="211" spans="1:7" x14ac:dyDescent="0.25">
      <c r="A211" s="285">
        <v>3</v>
      </c>
      <c r="B211" s="286"/>
      <c r="C211" s="287"/>
      <c r="D211" s="39" t="s">
        <v>20</v>
      </c>
      <c r="E211" s="40">
        <f>E212</f>
        <v>100</v>
      </c>
      <c r="F211" s="40"/>
      <c r="G211" s="40"/>
    </row>
    <row r="212" spans="1:7" x14ac:dyDescent="0.25">
      <c r="A212" s="288">
        <v>32</v>
      </c>
      <c r="B212" s="289"/>
      <c r="C212" s="290"/>
      <c r="D212" s="19" t="s">
        <v>37</v>
      </c>
      <c r="E212" s="47">
        <v>100</v>
      </c>
      <c r="F212" s="47"/>
      <c r="G212" s="47"/>
    </row>
    <row r="213" spans="1:7" ht="25.5" x14ac:dyDescent="0.25">
      <c r="A213" s="285">
        <v>4</v>
      </c>
      <c r="B213" s="286"/>
      <c r="C213" s="287"/>
      <c r="D213" s="39" t="s">
        <v>5</v>
      </c>
      <c r="E213" s="40">
        <f>E214</f>
        <v>1000</v>
      </c>
      <c r="F213" s="40">
        <f t="shared" ref="F213:G213" si="71">F214</f>
        <v>6000</v>
      </c>
      <c r="G213" s="40">
        <f t="shared" si="71"/>
        <v>0</v>
      </c>
    </row>
    <row r="214" spans="1:7" ht="25.5" x14ac:dyDescent="0.25">
      <c r="A214" s="288">
        <v>42</v>
      </c>
      <c r="B214" s="289"/>
      <c r="C214" s="290"/>
      <c r="D214" s="39" t="s">
        <v>94</v>
      </c>
      <c r="E214" s="47">
        <v>1000</v>
      </c>
      <c r="F214" s="47">
        <v>6000</v>
      </c>
      <c r="G214" s="47"/>
    </row>
    <row r="215" spans="1:7" x14ac:dyDescent="0.25">
      <c r="A215" s="73" t="s">
        <v>144</v>
      </c>
      <c r="B215" s="73"/>
      <c r="C215" s="73"/>
      <c r="D215" s="73"/>
      <c r="E215" s="79">
        <f t="shared" ref="E215:G215" si="72">E216</f>
        <v>14600</v>
      </c>
      <c r="F215" s="79">
        <f t="shared" si="72"/>
        <v>14700</v>
      </c>
      <c r="G215" s="79">
        <f t="shared" si="72"/>
        <v>11200</v>
      </c>
    </row>
    <row r="216" spans="1:7" x14ac:dyDescent="0.25">
      <c r="A216" s="54" t="s">
        <v>243</v>
      </c>
      <c r="B216" s="54"/>
      <c r="C216" s="54"/>
      <c r="D216" s="54"/>
      <c r="E216" s="67">
        <f t="shared" ref="E216:G216" si="73">E219</f>
        <v>14600</v>
      </c>
      <c r="F216" s="67">
        <f t="shared" si="73"/>
        <v>14700</v>
      </c>
      <c r="G216" s="67">
        <f t="shared" si="73"/>
        <v>11200</v>
      </c>
    </row>
    <row r="217" spans="1:7" x14ac:dyDescent="0.25">
      <c r="A217" s="294" t="s">
        <v>169</v>
      </c>
      <c r="B217" s="295"/>
      <c r="C217" s="295"/>
      <c r="D217" s="295"/>
      <c r="E217" s="295"/>
      <c r="F217" s="295"/>
      <c r="G217" s="296"/>
    </row>
    <row r="218" spans="1:7" x14ac:dyDescent="0.25">
      <c r="A218" s="42" t="s">
        <v>71</v>
      </c>
      <c r="B218" s="42"/>
      <c r="C218" s="42"/>
      <c r="D218" s="42"/>
      <c r="E218" s="53">
        <f>E216</f>
        <v>14600</v>
      </c>
      <c r="F218" s="53">
        <f>F216</f>
        <v>14700</v>
      </c>
      <c r="G218" s="53">
        <f>G216</f>
        <v>11200</v>
      </c>
    </row>
    <row r="219" spans="1:7" x14ac:dyDescent="0.25">
      <c r="A219" s="285">
        <v>3</v>
      </c>
      <c r="B219" s="286"/>
      <c r="C219" s="287"/>
      <c r="D219" s="39" t="s">
        <v>20</v>
      </c>
      <c r="E219" s="40">
        <f>E220+E221</f>
        <v>14600</v>
      </c>
      <c r="F219" s="40">
        <f t="shared" ref="F219:G219" si="74">F220+F221</f>
        <v>14700</v>
      </c>
      <c r="G219" s="40">
        <f t="shared" si="74"/>
        <v>11200</v>
      </c>
    </row>
    <row r="220" spans="1:7" x14ac:dyDescent="0.25">
      <c r="A220" s="288">
        <v>32</v>
      </c>
      <c r="B220" s="289"/>
      <c r="C220" s="290"/>
      <c r="D220" s="39" t="s">
        <v>37</v>
      </c>
      <c r="E220" s="47">
        <v>14300</v>
      </c>
      <c r="F220" s="47">
        <v>14500</v>
      </c>
      <c r="G220" s="47">
        <v>11000</v>
      </c>
    </row>
    <row r="221" spans="1:7" x14ac:dyDescent="0.25">
      <c r="A221" s="288">
        <v>35</v>
      </c>
      <c r="B221" s="289"/>
      <c r="C221" s="290"/>
      <c r="D221" s="39" t="s">
        <v>52</v>
      </c>
      <c r="E221" s="47">
        <v>300</v>
      </c>
      <c r="F221" s="47">
        <v>200</v>
      </c>
      <c r="G221" s="47">
        <v>200</v>
      </c>
    </row>
    <row r="222" spans="1:7" x14ac:dyDescent="0.25">
      <c r="A222" s="313" t="s">
        <v>145</v>
      </c>
      <c r="B222" s="314"/>
      <c r="C222" s="314"/>
      <c r="D222" s="315"/>
      <c r="E222" s="75">
        <f>E223+E228+E238+E243+E249</f>
        <v>101500</v>
      </c>
      <c r="F222" s="75">
        <f>F223+F228+F238+F243+F249</f>
        <v>29400</v>
      </c>
      <c r="G222" s="75">
        <f>G223+G228+G238+G243+G249</f>
        <v>502000</v>
      </c>
    </row>
    <row r="223" spans="1:7" x14ac:dyDescent="0.25">
      <c r="A223" s="297" t="s">
        <v>244</v>
      </c>
      <c r="B223" s="298"/>
      <c r="C223" s="298"/>
      <c r="D223" s="299"/>
      <c r="E223" s="58">
        <f>E226</f>
        <v>35000</v>
      </c>
      <c r="F223" s="58"/>
      <c r="G223" s="58"/>
    </row>
    <row r="224" spans="1:7" x14ac:dyDescent="0.25">
      <c r="A224" s="154" t="s">
        <v>160</v>
      </c>
      <c r="B224" s="151"/>
      <c r="C224" s="151"/>
      <c r="D224" s="152"/>
      <c r="E224" s="153"/>
      <c r="F224" s="153"/>
      <c r="G224" s="153"/>
    </row>
    <row r="225" spans="1:7" x14ac:dyDescent="0.25">
      <c r="A225" s="43" t="s">
        <v>71</v>
      </c>
      <c r="B225" s="43"/>
      <c r="C225" s="43"/>
      <c r="D225" s="43"/>
      <c r="E225" s="122">
        <f>E223</f>
        <v>35000</v>
      </c>
      <c r="F225" s="120"/>
      <c r="G225" s="120"/>
    </row>
    <row r="226" spans="1:7" ht="25.5" x14ac:dyDescent="0.25">
      <c r="A226" s="285">
        <v>4</v>
      </c>
      <c r="B226" s="286"/>
      <c r="C226" s="287"/>
      <c r="D226" s="39" t="s">
        <v>5</v>
      </c>
      <c r="E226" s="119">
        <f>E227</f>
        <v>35000</v>
      </c>
      <c r="F226" s="118"/>
      <c r="G226" s="118"/>
    </row>
    <row r="227" spans="1:7" ht="25.5" x14ac:dyDescent="0.25">
      <c r="A227" s="288">
        <v>42</v>
      </c>
      <c r="B227" s="289"/>
      <c r="C227" s="290"/>
      <c r="D227" s="39" t="s">
        <v>94</v>
      </c>
      <c r="E227" s="119">
        <v>35000</v>
      </c>
      <c r="F227" s="118"/>
      <c r="G227" s="118"/>
    </row>
    <row r="228" spans="1:7" x14ac:dyDescent="0.25">
      <c r="A228" s="322" t="s">
        <v>245</v>
      </c>
      <c r="B228" s="323"/>
      <c r="C228" s="323"/>
      <c r="D228" s="324"/>
      <c r="E228" s="305">
        <f t="shared" ref="E228:G228" si="75">E234+E236</f>
        <v>13500</v>
      </c>
      <c r="F228" s="305">
        <f t="shared" si="75"/>
        <v>1500</v>
      </c>
      <c r="G228" s="305">
        <f t="shared" si="75"/>
        <v>252000</v>
      </c>
    </row>
    <row r="229" spans="1:7" ht="9" customHeight="1" x14ac:dyDescent="0.25">
      <c r="A229" s="325"/>
      <c r="B229" s="326"/>
      <c r="C229" s="326"/>
      <c r="D229" s="327"/>
      <c r="E229" s="404"/>
      <c r="F229" s="404"/>
      <c r="G229" s="404"/>
    </row>
    <row r="230" spans="1:7" ht="8.25" customHeight="1" x14ac:dyDescent="0.25">
      <c r="A230" s="328"/>
      <c r="B230" s="329"/>
      <c r="C230" s="329"/>
      <c r="D230" s="330"/>
      <c r="E230" s="306"/>
      <c r="F230" s="306"/>
      <c r="G230" s="306"/>
    </row>
    <row r="231" spans="1:7" x14ac:dyDescent="0.25">
      <c r="A231" s="154" t="s">
        <v>160</v>
      </c>
      <c r="B231" s="151"/>
      <c r="C231" s="151"/>
      <c r="D231" s="152"/>
      <c r="E231" s="153"/>
      <c r="F231" s="153"/>
      <c r="G231" s="153"/>
    </row>
    <row r="232" spans="1:7" x14ac:dyDescent="0.25">
      <c r="A232" s="43" t="s">
        <v>71</v>
      </c>
      <c r="B232" s="43"/>
      <c r="C232" s="43"/>
      <c r="D232" s="43"/>
      <c r="E232" s="53">
        <f>E228-E233</f>
        <v>1500</v>
      </c>
      <c r="F232" s="53">
        <f>F228</f>
        <v>1500</v>
      </c>
      <c r="G232" s="53">
        <f>G228-G233</f>
        <v>2000</v>
      </c>
    </row>
    <row r="233" spans="1:7" x14ac:dyDescent="0.25">
      <c r="A233" s="43" t="s">
        <v>286</v>
      </c>
      <c r="B233" s="43"/>
      <c r="C233" s="43"/>
      <c r="D233" s="43"/>
      <c r="E233" s="53">
        <v>12000</v>
      </c>
      <c r="F233" s="53"/>
      <c r="G233" s="53">
        <v>250000</v>
      </c>
    </row>
    <row r="234" spans="1:7" x14ac:dyDescent="0.25">
      <c r="A234" s="285">
        <v>3</v>
      </c>
      <c r="B234" s="286"/>
      <c r="C234" s="287"/>
      <c r="D234" s="39" t="s">
        <v>20</v>
      </c>
      <c r="E234" s="40">
        <f>E235</f>
        <v>1500</v>
      </c>
      <c r="F234" s="40">
        <f t="shared" ref="F234:G234" si="76">F235</f>
        <v>1500</v>
      </c>
      <c r="G234" s="40">
        <f t="shared" si="76"/>
        <v>2000</v>
      </c>
    </row>
    <row r="235" spans="1:7" x14ac:dyDescent="0.25">
      <c r="A235" s="288">
        <v>32</v>
      </c>
      <c r="B235" s="289"/>
      <c r="C235" s="290"/>
      <c r="D235" s="39" t="s">
        <v>37</v>
      </c>
      <c r="E235" s="47">
        <v>1500</v>
      </c>
      <c r="F235" s="47">
        <v>1500</v>
      </c>
      <c r="G235" s="47">
        <v>2000</v>
      </c>
    </row>
    <row r="236" spans="1:7" ht="25.5" x14ac:dyDescent="0.25">
      <c r="A236" s="285">
        <v>4</v>
      </c>
      <c r="B236" s="286"/>
      <c r="C236" s="287"/>
      <c r="D236" s="39" t="s">
        <v>5</v>
      </c>
      <c r="E236" s="47">
        <f>E237</f>
        <v>12000</v>
      </c>
      <c r="F236" s="47">
        <f t="shared" ref="F236:G236" si="77">F237</f>
        <v>0</v>
      </c>
      <c r="G236" s="47">
        <f t="shared" si="77"/>
        <v>250000</v>
      </c>
    </row>
    <row r="237" spans="1:7" ht="25.5" x14ac:dyDescent="0.25">
      <c r="A237" s="115"/>
      <c r="B237" s="116"/>
      <c r="C237" s="116">
        <v>45</v>
      </c>
      <c r="D237" s="117" t="s">
        <v>99</v>
      </c>
      <c r="E237" s="47">
        <v>12000</v>
      </c>
      <c r="F237" s="47"/>
      <c r="G237" s="47">
        <v>250000</v>
      </c>
    </row>
    <row r="238" spans="1:7" x14ac:dyDescent="0.25">
      <c r="A238" s="316" t="s">
        <v>246</v>
      </c>
      <c r="B238" s="317"/>
      <c r="C238" s="317"/>
      <c r="D238" s="318"/>
      <c r="E238" s="190">
        <f>E241</f>
        <v>8000</v>
      </c>
      <c r="F238" s="190">
        <f t="shared" ref="F238:G238" si="78">F241</f>
        <v>6100</v>
      </c>
      <c r="G238" s="190">
        <f t="shared" si="78"/>
        <v>0</v>
      </c>
    </row>
    <row r="239" spans="1:7" x14ac:dyDescent="0.25">
      <c r="A239" s="154" t="s">
        <v>160</v>
      </c>
      <c r="B239" s="151"/>
      <c r="C239" s="151"/>
      <c r="D239" s="152"/>
      <c r="E239" s="153"/>
      <c r="F239" s="153"/>
      <c r="G239" s="153"/>
    </row>
    <row r="240" spans="1:7" x14ac:dyDescent="0.25">
      <c r="A240" s="43" t="s">
        <v>71</v>
      </c>
      <c r="B240" s="43"/>
      <c r="C240" s="43"/>
      <c r="D240" s="43"/>
      <c r="E240" s="53">
        <f>E238</f>
        <v>8000</v>
      </c>
      <c r="F240" s="53">
        <f t="shared" ref="F240:G240" si="79">F238</f>
        <v>6100</v>
      </c>
      <c r="G240" s="53">
        <f t="shared" si="79"/>
        <v>0</v>
      </c>
    </row>
    <row r="241" spans="1:7" x14ac:dyDescent="0.25">
      <c r="A241" s="285">
        <v>3</v>
      </c>
      <c r="B241" s="286"/>
      <c r="C241" s="287"/>
      <c r="D241" s="39" t="s">
        <v>20</v>
      </c>
      <c r="E241" s="47">
        <f>E242</f>
        <v>8000</v>
      </c>
      <c r="F241" s="47">
        <f>F242</f>
        <v>6100</v>
      </c>
      <c r="G241" s="47">
        <f>G242</f>
        <v>0</v>
      </c>
    </row>
    <row r="242" spans="1:7" x14ac:dyDescent="0.25">
      <c r="A242" s="288">
        <v>32</v>
      </c>
      <c r="B242" s="289"/>
      <c r="C242" s="290"/>
      <c r="D242" s="39" t="s">
        <v>37</v>
      </c>
      <c r="E242" s="47">
        <v>8000</v>
      </c>
      <c r="F242" s="47">
        <v>6100</v>
      </c>
      <c r="G242" s="47"/>
    </row>
    <row r="243" spans="1:7" ht="30.75" customHeight="1" x14ac:dyDescent="0.25">
      <c r="A243" s="282" t="s">
        <v>247</v>
      </c>
      <c r="B243" s="283"/>
      <c r="C243" s="283"/>
      <c r="D243" s="284"/>
      <c r="E243" s="186">
        <f>E247</f>
        <v>35000</v>
      </c>
      <c r="F243" s="186">
        <f t="shared" ref="F243:G243" si="80">F247</f>
        <v>0</v>
      </c>
      <c r="G243" s="186">
        <f t="shared" si="80"/>
        <v>200000</v>
      </c>
    </row>
    <row r="244" spans="1:7" x14ac:dyDescent="0.25">
      <c r="A244" s="154" t="s">
        <v>160</v>
      </c>
      <c r="B244" s="151"/>
      <c r="C244" s="151"/>
      <c r="D244" s="152"/>
      <c r="E244" s="153"/>
      <c r="F244" s="153"/>
      <c r="G244" s="153"/>
    </row>
    <row r="245" spans="1:7" x14ac:dyDescent="0.25">
      <c r="A245" s="43" t="s">
        <v>286</v>
      </c>
      <c r="B245" s="43"/>
      <c r="C245" s="43"/>
      <c r="D245" s="43"/>
      <c r="E245" s="53">
        <v>25000</v>
      </c>
      <c r="F245" s="53"/>
      <c r="G245" s="53">
        <v>90000</v>
      </c>
    </row>
    <row r="246" spans="1:7" x14ac:dyDescent="0.25">
      <c r="A246" s="42" t="s">
        <v>81</v>
      </c>
      <c r="B246" s="42"/>
      <c r="C246" s="42"/>
      <c r="D246" s="42"/>
      <c r="E246" s="53">
        <f>E243-E245</f>
        <v>10000</v>
      </c>
      <c r="F246" s="53"/>
      <c r="G246" s="53">
        <f>G243-G245</f>
        <v>110000</v>
      </c>
    </row>
    <row r="247" spans="1:7" ht="25.5" x14ac:dyDescent="0.25">
      <c r="A247" s="285">
        <v>4</v>
      </c>
      <c r="B247" s="286"/>
      <c r="C247" s="287"/>
      <c r="D247" s="39" t="s">
        <v>5</v>
      </c>
      <c r="E247" s="47">
        <f>E248</f>
        <v>35000</v>
      </c>
      <c r="F247" s="47">
        <f t="shared" ref="F247:G247" si="81">F248</f>
        <v>0</v>
      </c>
      <c r="G247" s="47">
        <f t="shared" si="81"/>
        <v>200000</v>
      </c>
    </row>
    <row r="248" spans="1:7" ht="29.25" x14ac:dyDescent="0.25">
      <c r="A248" s="288">
        <v>45</v>
      </c>
      <c r="B248" s="289"/>
      <c r="C248" s="290"/>
      <c r="D248" s="121" t="s">
        <v>99</v>
      </c>
      <c r="E248" s="47">
        <v>35000</v>
      </c>
      <c r="F248" s="47"/>
      <c r="G248" s="47">
        <v>200000</v>
      </c>
    </row>
    <row r="249" spans="1:7" ht="29.25" customHeight="1" x14ac:dyDescent="0.25">
      <c r="A249" s="282" t="s">
        <v>248</v>
      </c>
      <c r="B249" s="283"/>
      <c r="C249" s="283"/>
      <c r="D249" s="284"/>
      <c r="E249" s="190">
        <f>E253</f>
        <v>10000</v>
      </c>
      <c r="F249" s="190">
        <f t="shared" ref="F249:G249" si="82">F253</f>
        <v>21800</v>
      </c>
      <c r="G249" s="190">
        <f t="shared" si="82"/>
        <v>50000</v>
      </c>
    </row>
    <row r="250" spans="1:7" x14ac:dyDescent="0.25">
      <c r="A250" s="154" t="s">
        <v>160</v>
      </c>
      <c r="B250" s="151"/>
      <c r="C250" s="151"/>
      <c r="D250" s="152"/>
      <c r="E250" s="152"/>
      <c r="F250" s="152"/>
      <c r="G250" s="152"/>
    </row>
    <row r="251" spans="1:7" x14ac:dyDescent="0.25">
      <c r="A251" s="43" t="s">
        <v>73</v>
      </c>
      <c r="B251" s="43"/>
      <c r="C251" s="43"/>
      <c r="D251" s="43"/>
      <c r="E251" s="53"/>
      <c r="F251" s="53">
        <f>F249</f>
        <v>21800</v>
      </c>
      <c r="G251" s="53">
        <f>G249</f>
        <v>50000</v>
      </c>
    </row>
    <row r="252" spans="1:7" x14ac:dyDescent="0.25">
      <c r="A252" s="42" t="s">
        <v>81</v>
      </c>
      <c r="B252" s="42"/>
      <c r="C252" s="42"/>
      <c r="D252" s="42"/>
      <c r="E252" s="53">
        <f>E249</f>
        <v>10000</v>
      </c>
      <c r="F252" s="53"/>
      <c r="G252" s="53"/>
    </row>
    <row r="253" spans="1:7" ht="25.5" x14ac:dyDescent="0.25">
      <c r="A253" s="285">
        <v>4</v>
      </c>
      <c r="B253" s="286"/>
      <c r="C253" s="287"/>
      <c r="D253" s="39" t="s">
        <v>5</v>
      </c>
      <c r="E253" s="47">
        <f>E254</f>
        <v>10000</v>
      </c>
      <c r="F253" s="47">
        <f t="shared" ref="F253:G253" si="83">F254</f>
        <v>21800</v>
      </c>
      <c r="G253" s="47">
        <f t="shared" si="83"/>
        <v>50000</v>
      </c>
    </row>
    <row r="254" spans="1:7" ht="29.25" x14ac:dyDescent="0.25">
      <c r="A254" s="288">
        <v>45</v>
      </c>
      <c r="B254" s="289"/>
      <c r="C254" s="290"/>
      <c r="D254" s="121" t="s">
        <v>99</v>
      </c>
      <c r="E254" s="47">
        <v>10000</v>
      </c>
      <c r="F254" s="47">
        <v>21800</v>
      </c>
      <c r="G254" s="47">
        <v>50000</v>
      </c>
    </row>
    <row r="255" spans="1:7" x14ac:dyDescent="0.25">
      <c r="A255" s="359" t="s">
        <v>146</v>
      </c>
      <c r="B255" s="360"/>
      <c r="C255" s="360"/>
      <c r="D255" s="361"/>
      <c r="E255" s="81">
        <f t="shared" ref="E255:G255" si="84">E256</f>
        <v>112000</v>
      </c>
      <c r="F255" s="81">
        <f t="shared" si="84"/>
        <v>21000</v>
      </c>
      <c r="G255" s="81">
        <f t="shared" si="84"/>
        <v>0</v>
      </c>
    </row>
    <row r="256" spans="1:7" ht="30" customHeight="1" x14ac:dyDescent="0.25">
      <c r="A256" s="291" t="s">
        <v>249</v>
      </c>
      <c r="B256" s="292"/>
      <c r="C256" s="292"/>
      <c r="D256" s="293"/>
      <c r="E256" s="62">
        <f>E260+E262</f>
        <v>112000</v>
      </c>
      <c r="F256" s="62">
        <f t="shared" ref="F256:G256" si="85">F260+F262</f>
        <v>21000</v>
      </c>
      <c r="G256" s="62">
        <f t="shared" si="85"/>
        <v>0</v>
      </c>
    </row>
    <row r="257" spans="1:7" x14ac:dyDescent="0.25">
      <c r="A257" s="154" t="s">
        <v>160</v>
      </c>
      <c r="B257" s="151"/>
      <c r="C257" s="151"/>
      <c r="D257" s="152"/>
      <c r="E257" s="153"/>
      <c r="F257" s="153"/>
      <c r="G257" s="153"/>
    </row>
    <row r="258" spans="1:7" x14ac:dyDescent="0.25">
      <c r="A258" s="43" t="s">
        <v>71</v>
      </c>
      <c r="B258" s="43"/>
      <c r="C258" s="43"/>
      <c r="D258" s="41"/>
      <c r="E258" s="53">
        <f>E256-E259</f>
        <v>12000</v>
      </c>
      <c r="F258" s="53">
        <f>F256-F259</f>
        <v>1000</v>
      </c>
      <c r="G258" s="53"/>
    </row>
    <row r="259" spans="1:7" x14ac:dyDescent="0.25">
      <c r="A259" s="43" t="s">
        <v>286</v>
      </c>
      <c r="B259" s="43"/>
      <c r="C259" s="43"/>
      <c r="D259" s="43"/>
      <c r="E259" s="53">
        <v>100000</v>
      </c>
      <c r="F259" s="53">
        <v>20000</v>
      </c>
      <c r="G259" s="53"/>
    </row>
    <row r="260" spans="1:7" ht="25.5" x14ac:dyDescent="0.25">
      <c r="A260" s="285">
        <v>4</v>
      </c>
      <c r="B260" s="286"/>
      <c r="C260" s="287"/>
      <c r="D260" s="39" t="s">
        <v>5</v>
      </c>
      <c r="E260" s="47">
        <f>E261</f>
        <v>100000</v>
      </c>
      <c r="F260" s="47">
        <f t="shared" ref="F260:G260" si="86">F261</f>
        <v>20000</v>
      </c>
      <c r="G260" s="47">
        <f t="shared" si="86"/>
        <v>0</v>
      </c>
    </row>
    <row r="261" spans="1:7" ht="25.5" x14ac:dyDescent="0.25">
      <c r="A261" s="288">
        <v>42</v>
      </c>
      <c r="B261" s="289"/>
      <c r="C261" s="290"/>
      <c r="D261" s="39" t="s">
        <v>94</v>
      </c>
      <c r="E261" s="47">
        <v>100000</v>
      </c>
      <c r="F261" s="47">
        <v>20000</v>
      </c>
      <c r="G261" s="47"/>
    </row>
    <row r="262" spans="1:7" x14ac:dyDescent="0.25">
      <c r="A262" s="285">
        <v>3</v>
      </c>
      <c r="B262" s="286"/>
      <c r="C262" s="287"/>
      <c r="D262" s="39" t="s">
        <v>20</v>
      </c>
      <c r="E262" s="47">
        <f>E263+E264</f>
        <v>12000</v>
      </c>
      <c r="F262" s="47">
        <f>F263+F264</f>
        <v>1000</v>
      </c>
      <c r="G262" s="47">
        <f>G263+G264</f>
        <v>0</v>
      </c>
    </row>
    <row r="263" spans="1:7" x14ac:dyDescent="0.25">
      <c r="A263" s="288">
        <v>32</v>
      </c>
      <c r="B263" s="289"/>
      <c r="C263" s="290"/>
      <c r="D263" s="39" t="s">
        <v>37</v>
      </c>
      <c r="E263" s="47">
        <v>10000</v>
      </c>
      <c r="F263" s="47"/>
      <c r="G263" s="47"/>
    </row>
    <row r="264" spans="1:7" x14ac:dyDescent="0.25">
      <c r="A264" s="142"/>
      <c r="B264" s="143"/>
      <c r="C264" s="144">
        <v>38</v>
      </c>
      <c r="D264" s="39" t="s">
        <v>55</v>
      </c>
      <c r="E264" s="47">
        <v>2000</v>
      </c>
      <c r="F264" s="47">
        <v>1000</v>
      </c>
      <c r="G264" s="47"/>
    </row>
    <row r="265" spans="1:7" x14ac:dyDescent="0.25">
      <c r="A265" s="87" t="s">
        <v>83</v>
      </c>
      <c r="B265" s="87"/>
      <c r="C265" s="87"/>
      <c r="D265" s="87"/>
      <c r="E265" s="88">
        <f t="shared" ref="E265:G265" si="87">E266+E278+E290+E297</f>
        <v>291881</v>
      </c>
      <c r="F265" s="88">
        <f t="shared" si="87"/>
        <v>294850</v>
      </c>
      <c r="G265" s="88">
        <f t="shared" si="87"/>
        <v>289300</v>
      </c>
    </row>
    <row r="266" spans="1:7" x14ac:dyDescent="0.25">
      <c r="A266" s="73" t="s">
        <v>147</v>
      </c>
      <c r="B266" s="73"/>
      <c r="C266" s="73"/>
      <c r="D266" s="73"/>
      <c r="E266" s="76">
        <f t="shared" ref="E266:G266" si="88">E267</f>
        <v>268381</v>
      </c>
      <c r="F266" s="76">
        <f t="shared" si="88"/>
        <v>271350</v>
      </c>
      <c r="G266" s="76">
        <f t="shared" si="88"/>
        <v>271800</v>
      </c>
    </row>
    <row r="267" spans="1:7" x14ac:dyDescent="0.25">
      <c r="A267" s="54" t="s">
        <v>250</v>
      </c>
      <c r="B267" s="55"/>
      <c r="C267" s="55"/>
      <c r="D267" s="55"/>
      <c r="E267" s="56">
        <f t="shared" ref="E267:G267" si="89">E272+E276</f>
        <v>268381</v>
      </c>
      <c r="F267" s="56">
        <f t="shared" si="89"/>
        <v>271350</v>
      </c>
      <c r="G267" s="56">
        <f t="shared" si="89"/>
        <v>271800</v>
      </c>
    </row>
    <row r="268" spans="1:7" x14ac:dyDescent="0.25">
      <c r="A268" s="83" t="s">
        <v>84</v>
      </c>
      <c r="B268" s="84"/>
      <c r="C268" s="84"/>
      <c r="D268" s="84"/>
      <c r="E268" s="85"/>
      <c r="F268" s="85"/>
      <c r="G268" s="85"/>
    </row>
    <row r="269" spans="1:7" x14ac:dyDescent="0.25">
      <c r="A269" s="154" t="s">
        <v>170</v>
      </c>
      <c r="B269" s="151"/>
      <c r="C269" s="151"/>
      <c r="D269" s="152"/>
      <c r="E269" s="153"/>
      <c r="F269" s="153"/>
      <c r="G269" s="153"/>
    </row>
    <row r="270" spans="1:7" x14ac:dyDescent="0.25">
      <c r="A270" s="43" t="s">
        <v>286</v>
      </c>
      <c r="B270" s="43"/>
      <c r="C270" s="43"/>
      <c r="D270" s="43"/>
      <c r="E270" s="53">
        <f>486+80000</f>
        <v>80486</v>
      </c>
      <c r="F270" s="53">
        <v>80486</v>
      </c>
      <c r="G270" s="53">
        <v>80486</v>
      </c>
    </row>
    <row r="271" spans="1:7" x14ac:dyDescent="0.25">
      <c r="A271" s="42" t="s">
        <v>81</v>
      </c>
      <c r="B271" s="42"/>
      <c r="C271" s="42"/>
      <c r="D271" s="42"/>
      <c r="E271" s="53">
        <f>E267-E270</f>
        <v>187895</v>
      </c>
      <c r="F271" s="53">
        <f>F267-F270</f>
        <v>190864</v>
      </c>
      <c r="G271" s="53">
        <f>G267-G270</f>
        <v>191314</v>
      </c>
    </row>
    <row r="272" spans="1:7" x14ac:dyDescent="0.25">
      <c r="A272" s="285">
        <v>3</v>
      </c>
      <c r="B272" s="286"/>
      <c r="C272" s="287"/>
      <c r="D272" s="39" t="s">
        <v>20</v>
      </c>
      <c r="E272" s="40">
        <f>E273+E274+E275</f>
        <v>266281</v>
      </c>
      <c r="F272" s="40">
        <f t="shared" ref="F272:G272" si="90">F273+F274+F275</f>
        <v>267950</v>
      </c>
      <c r="G272" s="40">
        <f t="shared" si="90"/>
        <v>270000</v>
      </c>
    </row>
    <row r="273" spans="1:7" x14ac:dyDescent="0.25">
      <c r="A273" s="288">
        <v>31</v>
      </c>
      <c r="B273" s="289"/>
      <c r="C273" s="290"/>
      <c r="D273" s="39" t="s">
        <v>23</v>
      </c>
      <c r="E273" s="47">
        <v>210843</v>
      </c>
      <c r="F273" s="47">
        <v>211000</v>
      </c>
      <c r="G273" s="47">
        <v>212000</v>
      </c>
    </row>
    <row r="274" spans="1:7" x14ac:dyDescent="0.25">
      <c r="A274" s="288">
        <v>32</v>
      </c>
      <c r="B274" s="289"/>
      <c r="C274" s="290"/>
      <c r="D274" s="39" t="s">
        <v>37</v>
      </c>
      <c r="E274" s="47">
        <v>54670</v>
      </c>
      <c r="F274" s="47">
        <v>56000</v>
      </c>
      <c r="G274" s="47">
        <v>57000</v>
      </c>
    </row>
    <row r="275" spans="1:7" x14ac:dyDescent="0.25">
      <c r="A275" s="288">
        <v>34</v>
      </c>
      <c r="B275" s="289"/>
      <c r="C275" s="290"/>
      <c r="D275" s="39" t="s">
        <v>100</v>
      </c>
      <c r="E275" s="47">
        <v>768</v>
      </c>
      <c r="F275" s="47">
        <v>950</v>
      </c>
      <c r="G275" s="47">
        <v>1000</v>
      </c>
    </row>
    <row r="276" spans="1:7" ht="25.5" x14ac:dyDescent="0.25">
      <c r="A276" s="285">
        <v>4</v>
      </c>
      <c r="B276" s="286"/>
      <c r="C276" s="287"/>
      <c r="D276" s="39" t="s">
        <v>5</v>
      </c>
      <c r="E276" s="40">
        <f>E277</f>
        <v>2100</v>
      </c>
      <c r="F276" s="40">
        <f t="shared" ref="F276:G276" si="91">F277</f>
        <v>3400</v>
      </c>
      <c r="G276" s="40">
        <f t="shared" si="91"/>
        <v>1800</v>
      </c>
    </row>
    <row r="277" spans="1:7" ht="25.5" x14ac:dyDescent="0.25">
      <c r="A277" s="288">
        <v>42</v>
      </c>
      <c r="B277" s="289"/>
      <c r="C277" s="290"/>
      <c r="D277" s="39" t="s">
        <v>94</v>
      </c>
      <c r="E277" s="47">
        <v>2100</v>
      </c>
      <c r="F277" s="47">
        <v>3400</v>
      </c>
      <c r="G277" s="47">
        <v>1800</v>
      </c>
    </row>
    <row r="278" spans="1:7" x14ac:dyDescent="0.25">
      <c r="A278" s="73" t="s">
        <v>148</v>
      </c>
      <c r="B278" s="73"/>
      <c r="C278" s="73"/>
      <c r="D278" s="73"/>
      <c r="E278" s="76">
        <f>E279+E285</f>
        <v>10000</v>
      </c>
      <c r="F278" s="76">
        <f t="shared" ref="F278:G278" si="92">F279+F285</f>
        <v>10000</v>
      </c>
      <c r="G278" s="76">
        <f t="shared" si="92"/>
        <v>7500</v>
      </c>
    </row>
    <row r="279" spans="1:7" x14ac:dyDescent="0.25">
      <c r="A279" s="338" t="s">
        <v>251</v>
      </c>
      <c r="B279" s="339"/>
      <c r="C279" s="339"/>
      <c r="D279" s="339"/>
      <c r="E279" s="345">
        <f t="shared" ref="E279:G279" si="93">E283</f>
        <v>6000</v>
      </c>
      <c r="F279" s="345">
        <f t="shared" si="93"/>
        <v>6000</v>
      </c>
      <c r="G279" s="345">
        <f t="shared" si="93"/>
        <v>4000</v>
      </c>
    </row>
    <row r="280" spans="1:7" x14ac:dyDescent="0.25">
      <c r="A280" s="341" t="s">
        <v>85</v>
      </c>
      <c r="B280" s="342"/>
      <c r="C280" s="342"/>
      <c r="D280" s="351"/>
      <c r="E280" s="346"/>
      <c r="F280" s="346"/>
      <c r="G280" s="346"/>
    </row>
    <row r="281" spans="1:7" x14ac:dyDescent="0.25">
      <c r="A281" s="154" t="s">
        <v>171</v>
      </c>
      <c r="B281" s="151"/>
      <c r="C281" s="151"/>
      <c r="D281" s="152"/>
      <c r="E281" s="153"/>
      <c r="F281" s="153"/>
      <c r="G281" s="153"/>
    </row>
    <row r="282" spans="1:7" x14ac:dyDescent="0.25">
      <c r="A282" s="43" t="s">
        <v>81</v>
      </c>
      <c r="B282" s="43"/>
      <c r="C282" s="43"/>
      <c r="D282" s="43"/>
      <c r="E282" s="53">
        <f>E279</f>
        <v>6000</v>
      </c>
      <c r="F282" s="53">
        <f t="shared" ref="F282:G282" si="94">F279</f>
        <v>6000</v>
      </c>
      <c r="G282" s="53">
        <f t="shared" si="94"/>
        <v>4000</v>
      </c>
    </row>
    <row r="283" spans="1:7" x14ac:dyDescent="0.25">
      <c r="A283" s="285">
        <v>3</v>
      </c>
      <c r="B283" s="286"/>
      <c r="C283" s="287"/>
      <c r="D283" s="39" t="s">
        <v>20</v>
      </c>
      <c r="E283" s="40">
        <f>E284</f>
        <v>6000</v>
      </c>
      <c r="F283" s="40">
        <f t="shared" ref="F283:G283" si="95">F284</f>
        <v>6000</v>
      </c>
      <c r="G283" s="40">
        <f t="shared" si="95"/>
        <v>4000</v>
      </c>
    </row>
    <row r="284" spans="1:7" ht="25.5" x14ac:dyDescent="0.25">
      <c r="A284" s="288">
        <v>36</v>
      </c>
      <c r="B284" s="289"/>
      <c r="C284" s="290"/>
      <c r="D284" s="39" t="s">
        <v>53</v>
      </c>
      <c r="E284" s="47">
        <v>6000</v>
      </c>
      <c r="F284" s="47">
        <v>6000</v>
      </c>
      <c r="G284" s="47">
        <v>4000</v>
      </c>
    </row>
    <row r="285" spans="1:7" x14ac:dyDescent="0.25">
      <c r="A285" s="331" t="s">
        <v>252</v>
      </c>
      <c r="B285" s="331"/>
      <c r="C285" s="331"/>
      <c r="D285" s="331"/>
      <c r="E285" s="112">
        <f>E288</f>
        <v>4000</v>
      </c>
      <c r="F285" s="112">
        <f t="shared" ref="F285:G285" si="96">F288</f>
        <v>4000</v>
      </c>
      <c r="G285" s="112">
        <f t="shared" si="96"/>
        <v>3500</v>
      </c>
    </row>
    <row r="286" spans="1:7" x14ac:dyDescent="0.25">
      <c r="A286" s="154" t="s">
        <v>171</v>
      </c>
      <c r="B286" s="151"/>
      <c r="C286" s="151"/>
      <c r="D286" s="152"/>
      <c r="E286" s="153"/>
      <c r="F286" s="153"/>
      <c r="G286" s="153"/>
    </row>
    <row r="287" spans="1:7" x14ac:dyDescent="0.25">
      <c r="A287" s="43" t="s">
        <v>81</v>
      </c>
      <c r="B287" s="43"/>
      <c r="C287" s="43"/>
      <c r="D287" s="43"/>
      <c r="E287" s="53">
        <f>E285</f>
        <v>4000</v>
      </c>
      <c r="F287" s="53">
        <f t="shared" ref="F287:G287" si="97">F285</f>
        <v>4000</v>
      </c>
      <c r="G287" s="53">
        <f t="shared" si="97"/>
        <v>3500</v>
      </c>
    </row>
    <row r="288" spans="1:7" x14ac:dyDescent="0.25">
      <c r="A288" s="285">
        <v>3</v>
      </c>
      <c r="B288" s="286"/>
      <c r="C288" s="287"/>
      <c r="D288" s="39" t="s">
        <v>20</v>
      </c>
      <c r="E288" s="47">
        <f>E289</f>
        <v>4000</v>
      </c>
      <c r="F288" s="47">
        <f t="shared" ref="F288:G288" si="98">F289</f>
        <v>4000</v>
      </c>
      <c r="G288" s="47">
        <f t="shared" si="98"/>
        <v>3500</v>
      </c>
    </row>
    <row r="289" spans="1:7" ht="38.25" x14ac:dyDescent="0.25">
      <c r="A289" s="288">
        <v>37</v>
      </c>
      <c r="B289" s="289"/>
      <c r="C289" s="290"/>
      <c r="D289" s="39" t="s">
        <v>54</v>
      </c>
      <c r="E289" s="47">
        <v>4000</v>
      </c>
      <c r="F289" s="47">
        <v>4000</v>
      </c>
      <c r="G289" s="47">
        <v>3500</v>
      </c>
    </row>
    <row r="290" spans="1:7" x14ac:dyDescent="0.25">
      <c r="A290" s="335" t="s">
        <v>149</v>
      </c>
      <c r="B290" s="336"/>
      <c r="C290" s="336"/>
      <c r="D290" s="337"/>
      <c r="E290" s="76">
        <f t="shared" ref="E290:G290" si="99">E291</f>
        <v>3500</v>
      </c>
      <c r="F290" s="76">
        <f t="shared" si="99"/>
        <v>3500</v>
      </c>
      <c r="G290" s="76">
        <f t="shared" si="99"/>
        <v>3000</v>
      </c>
    </row>
    <row r="291" spans="1:7" x14ac:dyDescent="0.25">
      <c r="A291" s="338" t="s">
        <v>253</v>
      </c>
      <c r="B291" s="339"/>
      <c r="C291" s="339"/>
      <c r="D291" s="340"/>
      <c r="E291" s="345">
        <f t="shared" ref="E291:G291" si="100">E295</f>
        <v>3500</v>
      </c>
      <c r="F291" s="345">
        <f t="shared" si="100"/>
        <v>3500</v>
      </c>
      <c r="G291" s="345">
        <f t="shared" si="100"/>
        <v>3000</v>
      </c>
    </row>
    <row r="292" spans="1:7" x14ac:dyDescent="0.25">
      <c r="A292" s="341" t="s">
        <v>86</v>
      </c>
      <c r="B292" s="342"/>
      <c r="C292" s="342"/>
      <c r="D292" s="342"/>
      <c r="E292" s="346"/>
      <c r="F292" s="346"/>
      <c r="G292" s="346"/>
    </row>
    <row r="293" spans="1:7" x14ac:dyDescent="0.25">
      <c r="A293" s="154" t="s">
        <v>211</v>
      </c>
      <c r="B293" s="151"/>
      <c r="C293" s="151"/>
      <c r="D293" s="152"/>
      <c r="E293" s="153"/>
      <c r="F293" s="153"/>
      <c r="G293" s="153"/>
    </row>
    <row r="294" spans="1:7" x14ac:dyDescent="0.25">
      <c r="A294" s="43" t="s">
        <v>81</v>
      </c>
      <c r="B294" s="43"/>
      <c r="C294" s="43"/>
      <c r="D294" s="43"/>
      <c r="E294" s="53">
        <f>E291</f>
        <v>3500</v>
      </c>
      <c r="F294" s="53">
        <f t="shared" ref="F294:G294" si="101">F291</f>
        <v>3500</v>
      </c>
      <c r="G294" s="53">
        <f t="shared" si="101"/>
        <v>3000</v>
      </c>
    </row>
    <row r="295" spans="1:7" x14ac:dyDescent="0.25">
      <c r="A295" s="285">
        <v>3</v>
      </c>
      <c r="B295" s="286"/>
      <c r="C295" s="287"/>
      <c r="D295" s="39" t="s">
        <v>20</v>
      </c>
      <c r="E295" s="40">
        <f>E296</f>
        <v>3500</v>
      </c>
      <c r="F295" s="40">
        <f t="shared" ref="F295:G295" si="102">F296</f>
        <v>3500</v>
      </c>
      <c r="G295" s="40">
        <f t="shared" si="102"/>
        <v>3000</v>
      </c>
    </row>
    <row r="296" spans="1:7" ht="38.25" x14ac:dyDescent="0.25">
      <c r="A296" s="288">
        <v>37</v>
      </c>
      <c r="B296" s="289"/>
      <c r="C296" s="290"/>
      <c r="D296" s="39" t="s">
        <v>54</v>
      </c>
      <c r="E296" s="47">
        <v>3500</v>
      </c>
      <c r="F296" s="47">
        <v>3500</v>
      </c>
      <c r="G296" s="47">
        <v>3000</v>
      </c>
    </row>
    <row r="297" spans="1:7" x14ac:dyDescent="0.25">
      <c r="A297" s="73" t="s">
        <v>150</v>
      </c>
      <c r="B297" s="73"/>
      <c r="C297" s="73"/>
      <c r="D297" s="73"/>
      <c r="E297" s="76">
        <f t="shared" ref="E297:G297" si="103">E298</f>
        <v>10000</v>
      </c>
      <c r="F297" s="76">
        <f t="shared" si="103"/>
        <v>10000</v>
      </c>
      <c r="G297" s="76">
        <f t="shared" si="103"/>
        <v>7000</v>
      </c>
    </row>
    <row r="298" spans="1:7" x14ac:dyDescent="0.25">
      <c r="A298" s="54" t="s">
        <v>254</v>
      </c>
      <c r="B298" s="55"/>
      <c r="C298" s="55"/>
      <c r="D298" s="55"/>
      <c r="E298" s="65">
        <f t="shared" ref="E298:G298" si="104">E301</f>
        <v>10000</v>
      </c>
      <c r="F298" s="65">
        <f t="shared" si="104"/>
        <v>10000</v>
      </c>
      <c r="G298" s="65">
        <f t="shared" si="104"/>
        <v>7000</v>
      </c>
    </row>
    <row r="299" spans="1:7" x14ac:dyDescent="0.25">
      <c r="A299" s="154" t="s">
        <v>172</v>
      </c>
      <c r="B299" s="151"/>
      <c r="C299" s="151"/>
      <c r="D299" s="152"/>
      <c r="E299" s="153"/>
      <c r="F299" s="153"/>
      <c r="G299" s="153"/>
    </row>
    <row r="300" spans="1:7" x14ac:dyDescent="0.25">
      <c r="A300" s="43" t="s">
        <v>81</v>
      </c>
      <c r="B300" s="43"/>
      <c r="C300" s="43"/>
      <c r="D300" s="41"/>
      <c r="E300" s="53">
        <f>E298</f>
        <v>10000</v>
      </c>
      <c r="F300" s="53">
        <f t="shared" ref="F300:G300" si="105">F298</f>
        <v>10000</v>
      </c>
      <c r="G300" s="53">
        <f t="shared" si="105"/>
        <v>7000</v>
      </c>
    </row>
    <row r="301" spans="1:7" x14ac:dyDescent="0.25">
      <c r="A301" s="285">
        <v>3</v>
      </c>
      <c r="B301" s="286"/>
      <c r="C301" s="287"/>
      <c r="D301" s="39" t="s">
        <v>20</v>
      </c>
      <c r="E301" s="40">
        <f>E302</f>
        <v>10000</v>
      </c>
      <c r="F301" s="40">
        <f t="shared" ref="F301:G301" si="106">F302</f>
        <v>10000</v>
      </c>
      <c r="G301" s="40">
        <f t="shared" si="106"/>
        <v>7000</v>
      </c>
    </row>
    <row r="302" spans="1:7" ht="38.25" x14ac:dyDescent="0.25">
      <c r="A302" s="288">
        <v>37</v>
      </c>
      <c r="B302" s="289"/>
      <c r="C302" s="290"/>
      <c r="D302" s="39" t="s">
        <v>54</v>
      </c>
      <c r="E302" s="47">
        <v>10000</v>
      </c>
      <c r="F302" s="47">
        <v>10000</v>
      </c>
      <c r="G302" s="47">
        <v>7000</v>
      </c>
    </row>
    <row r="303" spans="1:7" x14ac:dyDescent="0.25">
      <c r="A303" s="89" t="s">
        <v>87</v>
      </c>
      <c r="B303" s="89"/>
      <c r="C303" s="89"/>
      <c r="D303" s="89"/>
      <c r="E303" s="347">
        <f t="shared" ref="E303" si="107">E305+E313</f>
        <v>37500</v>
      </c>
      <c r="F303" s="347">
        <f t="shared" ref="F303:G303" si="108">F305+F313</f>
        <v>35000</v>
      </c>
      <c r="G303" s="347">
        <f t="shared" si="108"/>
        <v>33000</v>
      </c>
    </row>
    <row r="304" spans="1:7" x14ac:dyDescent="0.25">
      <c r="A304" s="352" t="s">
        <v>88</v>
      </c>
      <c r="B304" s="353"/>
      <c r="C304" s="353"/>
      <c r="D304" s="354"/>
      <c r="E304" s="348"/>
      <c r="F304" s="348"/>
      <c r="G304" s="348"/>
    </row>
    <row r="305" spans="1:7" x14ac:dyDescent="0.25">
      <c r="A305" s="73" t="s">
        <v>151</v>
      </c>
      <c r="B305" s="73"/>
      <c r="C305" s="73"/>
      <c r="D305" s="73"/>
      <c r="E305" s="76">
        <f t="shared" ref="E305:G305" si="109">E306</f>
        <v>34000</v>
      </c>
      <c r="F305" s="76">
        <f t="shared" si="109"/>
        <v>32000</v>
      </c>
      <c r="G305" s="76">
        <f t="shared" si="109"/>
        <v>31000</v>
      </c>
    </row>
    <row r="306" spans="1:7" ht="30.75" customHeight="1" x14ac:dyDescent="0.25">
      <c r="A306" s="355" t="s">
        <v>255</v>
      </c>
      <c r="B306" s="356"/>
      <c r="C306" s="356"/>
      <c r="D306" s="357"/>
      <c r="E306" s="58">
        <f t="shared" ref="E306:G306" si="110">E310</f>
        <v>34000</v>
      </c>
      <c r="F306" s="58">
        <f t="shared" si="110"/>
        <v>32000</v>
      </c>
      <c r="G306" s="58">
        <f t="shared" si="110"/>
        <v>31000</v>
      </c>
    </row>
    <row r="307" spans="1:7" x14ac:dyDescent="0.25">
      <c r="A307" s="154" t="s">
        <v>173</v>
      </c>
      <c r="B307" s="151"/>
      <c r="C307" s="151"/>
      <c r="D307" s="152"/>
      <c r="E307" s="153"/>
      <c r="F307" s="153"/>
      <c r="G307" s="153"/>
    </row>
    <row r="308" spans="1:7" x14ac:dyDescent="0.25">
      <c r="A308" s="43" t="s">
        <v>81</v>
      </c>
      <c r="B308" s="43"/>
      <c r="C308" s="43"/>
      <c r="D308" s="43"/>
      <c r="E308" s="53">
        <f>E306-E309</f>
        <v>20000</v>
      </c>
      <c r="F308" s="53">
        <f t="shared" ref="F308:G308" si="111">F306-F309</f>
        <v>18000</v>
      </c>
      <c r="G308" s="53">
        <f t="shared" si="111"/>
        <v>17000</v>
      </c>
    </row>
    <row r="309" spans="1:7" x14ac:dyDescent="0.25">
      <c r="A309" s="43" t="s">
        <v>76</v>
      </c>
      <c r="B309" s="43"/>
      <c r="C309" s="43"/>
      <c r="D309" s="43"/>
      <c r="E309" s="53">
        <v>14000</v>
      </c>
      <c r="F309" s="53">
        <v>14000</v>
      </c>
      <c r="G309" s="53">
        <v>14000</v>
      </c>
    </row>
    <row r="310" spans="1:7" x14ac:dyDescent="0.25">
      <c r="A310" s="285">
        <v>3</v>
      </c>
      <c r="B310" s="286"/>
      <c r="C310" s="287"/>
      <c r="D310" s="39" t="s">
        <v>20</v>
      </c>
      <c r="E310" s="47">
        <f>E311+E312</f>
        <v>34000</v>
      </c>
      <c r="F310" s="47">
        <f t="shared" ref="F310:G310" si="112">F311+F312</f>
        <v>32000</v>
      </c>
      <c r="G310" s="47">
        <f t="shared" si="112"/>
        <v>31000</v>
      </c>
    </row>
    <row r="311" spans="1:7" ht="25.5" x14ac:dyDescent="0.25">
      <c r="A311" s="288">
        <v>36</v>
      </c>
      <c r="B311" s="289"/>
      <c r="C311" s="290"/>
      <c r="D311" s="39" t="s">
        <v>53</v>
      </c>
      <c r="E311" s="47">
        <v>14000</v>
      </c>
      <c r="F311" s="47">
        <v>14000</v>
      </c>
      <c r="G311" s="47">
        <v>14000</v>
      </c>
    </row>
    <row r="312" spans="1:7" x14ac:dyDescent="0.25">
      <c r="A312" s="288">
        <v>38</v>
      </c>
      <c r="B312" s="289"/>
      <c r="C312" s="290"/>
      <c r="D312" s="39" t="s">
        <v>55</v>
      </c>
      <c r="E312" s="47">
        <v>20000</v>
      </c>
      <c r="F312" s="47">
        <v>18000</v>
      </c>
      <c r="G312" s="47">
        <v>17000</v>
      </c>
    </row>
    <row r="313" spans="1:7" x14ac:dyDescent="0.25">
      <c r="A313" s="349" t="s">
        <v>152</v>
      </c>
      <c r="B313" s="349"/>
      <c r="C313" s="349"/>
      <c r="D313" s="349"/>
      <c r="E313" s="82">
        <f t="shared" ref="E313:G313" si="113">E314</f>
        <v>3500</v>
      </c>
      <c r="F313" s="82">
        <f t="shared" si="113"/>
        <v>3000</v>
      </c>
      <c r="G313" s="82">
        <f t="shared" si="113"/>
        <v>2000</v>
      </c>
    </row>
    <row r="314" spans="1:7" x14ac:dyDescent="0.25">
      <c r="A314" s="297" t="s">
        <v>256</v>
      </c>
      <c r="B314" s="298"/>
      <c r="C314" s="298"/>
      <c r="D314" s="299"/>
      <c r="E314" s="58">
        <f t="shared" ref="E314:G314" si="114">E317</f>
        <v>3500</v>
      </c>
      <c r="F314" s="58">
        <f t="shared" si="114"/>
        <v>3000</v>
      </c>
      <c r="G314" s="58">
        <f t="shared" si="114"/>
        <v>2000</v>
      </c>
    </row>
    <row r="315" spans="1:7" x14ac:dyDescent="0.25">
      <c r="A315" s="154" t="s">
        <v>174</v>
      </c>
      <c r="B315" s="151"/>
      <c r="C315" s="151"/>
      <c r="D315" s="152"/>
      <c r="E315" s="153"/>
      <c r="F315" s="153"/>
      <c r="G315" s="153"/>
    </row>
    <row r="316" spans="1:7" x14ac:dyDescent="0.25">
      <c r="A316" s="43" t="s">
        <v>81</v>
      </c>
      <c r="B316" s="43"/>
      <c r="C316" s="43"/>
      <c r="D316" s="43"/>
      <c r="E316" s="53">
        <f>E314</f>
        <v>3500</v>
      </c>
      <c r="F316" s="53">
        <f t="shared" ref="F316:G316" si="115">F314</f>
        <v>3000</v>
      </c>
      <c r="G316" s="53">
        <f t="shared" si="115"/>
        <v>2000</v>
      </c>
    </row>
    <row r="317" spans="1:7" x14ac:dyDescent="0.25">
      <c r="A317" s="285">
        <v>3</v>
      </c>
      <c r="B317" s="286"/>
      <c r="C317" s="287"/>
      <c r="D317" s="39" t="s">
        <v>20</v>
      </c>
      <c r="E317" s="47">
        <f>E318</f>
        <v>3500</v>
      </c>
      <c r="F317" s="47">
        <f t="shared" ref="F317:G317" si="116">F318</f>
        <v>3000</v>
      </c>
      <c r="G317" s="47">
        <f t="shared" si="116"/>
        <v>2000</v>
      </c>
    </row>
    <row r="318" spans="1:7" x14ac:dyDescent="0.25">
      <c r="A318" s="288">
        <v>38</v>
      </c>
      <c r="B318" s="289"/>
      <c r="C318" s="290"/>
      <c r="D318" s="39" t="s">
        <v>55</v>
      </c>
      <c r="E318" s="47">
        <v>3500</v>
      </c>
      <c r="F318" s="47">
        <v>3000</v>
      </c>
      <c r="G318" s="47">
        <v>2000</v>
      </c>
    </row>
    <row r="319" spans="1:7" x14ac:dyDescent="0.25">
      <c r="A319" s="87" t="s">
        <v>89</v>
      </c>
      <c r="B319" s="87"/>
      <c r="C319" s="87"/>
      <c r="D319" s="87"/>
      <c r="E319" s="88">
        <f>E320+E333+E327</f>
        <v>94000</v>
      </c>
      <c r="F319" s="88">
        <f t="shared" ref="F319" si="117">F320+F333+F327</f>
        <v>30000</v>
      </c>
      <c r="G319" s="88">
        <f>G320+G333+G327</f>
        <v>23000</v>
      </c>
    </row>
    <row r="320" spans="1:7" x14ac:dyDescent="0.25">
      <c r="A320" s="73" t="s">
        <v>153</v>
      </c>
      <c r="B320" s="73"/>
      <c r="C320" s="73"/>
      <c r="D320" s="73"/>
      <c r="E320" s="76">
        <f t="shared" ref="E320:G320" si="118">E321</f>
        <v>55000</v>
      </c>
      <c r="F320" s="76">
        <f t="shared" si="118"/>
        <v>25000</v>
      </c>
      <c r="G320" s="76">
        <f t="shared" si="118"/>
        <v>20000</v>
      </c>
    </row>
    <row r="321" spans="1:7" x14ac:dyDescent="0.25">
      <c r="A321" s="338" t="s">
        <v>257</v>
      </c>
      <c r="B321" s="339"/>
      <c r="C321" s="339"/>
      <c r="D321" s="339"/>
      <c r="E321" s="343">
        <f t="shared" ref="E321:G321" si="119">E325</f>
        <v>55000</v>
      </c>
      <c r="F321" s="343">
        <f t="shared" si="119"/>
        <v>25000</v>
      </c>
      <c r="G321" s="343">
        <f t="shared" si="119"/>
        <v>20000</v>
      </c>
    </row>
    <row r="322" spans="1:7" x14ac:dyDescent="0.25">
      <c r="A322" s="63" t="s">
        <v>90</v>
      </c>
      <c r="B322" s="64"/>
      <c r="C322" s="64"/>
      <c r="D322" s="64"/>
      <c r="E322" s="344"/>
      <c r="F322" s="344"/>
      <c r="G322" s="344"/>
    </row>
    <row r="323" spans="1:7" x14ac:dyDescent="0.25">
      <c r="A323" s="154" t="s">
        <v>175</v>
      </c>
      <c r="B323" s="151"/>
      <c r="C323" s="151"/>
      <c r="D323" s="152"/>
      <c r="E323" s="153"/>
      <c r="F323" s="153"/>
      <c r="G323" s="153"/>
    </row>
    <row r="324" spans="1:7" x14ac:dyDescent="0.25">
      <c r="A324" s="43" t="s">
        <v>81</v>
      </c>
      <c r="B324" s="43"/>
      <c r="C324" s="43"/>
      <c r="D324" s="43"/>
      <c r="E324" s="53">
        <f>E321</f>
        <v>55000</v>
      </c>
      <c r="F324" s="53">
        <f t="shared" ref="F324:G324" si="120">F321</f>
        <v>25000</v>
      </c>
      <c r="G324" s="53">
        <f t="shared" si="120"/>
        <v>20000</v>
      </c>
    </row>
    <row r="325" spans="1:7" x14ac:dyDescent="0.25">
      <c r="A325" s="285">
        <v>3</v>
      </c>
      <c r="B325" s="286"/>
      <c r="C325" s="287"/>
      <c r="D325" s="39" t="s">
        <v>20</v>
      </c>
      <c r="E325" s="40">
        <f>E326</f>
        <v>55000</v>
      </c>
      <c r="F325" s="40">
        <f t="shared" ref="F325:G325" si="121">F326</f>
        <v>25000</v>
      </c>
      <c r="G325" s="40">
        <f t="shared" si="121"/>
        <v>20000</v>
      </c>
    </row>
    <row r="326" spans="1:7" x14ac:dyDescent="0.25">
      <c r="A326" s="288">
        <v>38</v>
      </c>
      <c r="B326" s="289"/>
      <c r="C326" s="290"/>
      <c r="D326" s="39" t="s">
        <v>55</v>
      </c>
      <c r="E326" s="47">
        <v>55000</v>
      </c>
      <c r="F326" s="47">
        <v>25000</v>
      </c>
      <c r="G326" s="47">
        <v>20000</v>
      </c>
    </row>
    <row r="327" spans="1:7" x14ac:dyDescent="0.25">
      <c r="A327" s="73" t="s">
        <v>154</v>
      </c>
      <c r="B327" s="73"/>
      <c r="C327" s="73"/>
      <c r="D327" s="73"/>
      <c r="E327" s="76">
        <f t="shared" ref="E327:G327" si="122">E328</f>
        <v>4000</v>
      </c>
      <c r="F327" s="76">
        <f t="shared" si="122"/>
        <v>4000</v>
      </c>
      <c r="G327" s="76">
        <f t="shared" si="122"/>
        <v>2000</v>
      </c>
    </row>
    <row r="328" spans="1:7" x14ac:dyDescent="0.25">
      <c r="A328" s="350" t="s">
        <v>258</v>
      </c>
      <c r="B328" s="350"/>
      <c r="C328" s="350"/>
      <c r="D328" s="350"/>
      <c r="E328" s="62">
        <f t="shared" ref="E328:G328" si="123">E331</f>
        <v>4000</v>
      </c>
      <c r="F328" s="62">
        <f t="shared" si="123"/>
        <v>4000</v>
      </c>
      <c r="G328" s="62">
        <f t="shared" si="123"/>
        <v>2000</v>
      </c>
    </row>
    <row r="329" spans="1:7" x14ac:dyDescent="0.25">
      <c r="A329" s="154" t="s">
        <v>176</v>
      </c>
      <c r="B329" s="151"/>
      <c r="C329" s="151"/>
      <c r="D329" s="152"/>
      <c r="E329" s="153"/>
      <c r="F329" s="153"/>
      <c r="G329" s="153"/>
    </row>
    <row r="330" spans="1:7" x14ac:dyDescent="0.25">
      <c r="A330" s="43" t="s">
        <v>81</v>
      </c>
      <c r="B330" s="43"/>
      <c r="C330" s="43"/>
      <c r="D330" s="43"/>
      <c r="E330" s="53">
        <f>E328</f>
        <v>4000</v>
      </c>
      <c r="F330" s="53">
        <f t="shared" ref="F330:G330" si="124">F328</f>
        <v>4000</v>
      </c>
      <c r="G330" s="53">
        <f t="shared" si="124"/>
        <v>2000</v>
      </c>
    </row>
    <row r="331" spans="1:7" x14ac:dyDescent="0.25">
      <c r="A331" s="285">
        <v>3</v>
      </c>
      <c r="B331" s="286"/>
      <c r="C331" s="287"/>
      <c r="D331" s="39" t="s">
        <v>20</v>
      </c>
      <c r="E331" s="40">
        <f>E332</f>
        <v>4000</v>
      </c>
      <c r="F331" s="40">
        <f t="shared" ref="F331:G331" si="125">F332</f>
        <v>4000</v>
      </c>
      <c r="G331" s="40">
        <f t="shared" si="125"/>
        <v>2000</v>
      </c>
    </row>
    <row r="332" spans="1:7" x14ac:dyDescent="0.25">
      <c r="A332" s="288">
        <v>38</v>
      </c>
      <c r="B332" s="289"/>
      <c r="C332" s="290"/>
      <c r="D332" s="39" t="s">
        <v>55</v>
      </c>
      <c r="E332" s="47">
        <v>4000</v>
      </c>
      <c r="F332" s="47">
        <v>4000</v>
      </c>
      <c r="G332" s="47">
        <v>2000</v>
      </c>
    </row>
    <row r="333" spans="1:7" x14ac:dyDescent="0.25">
      <c r="A333" s="313" t="s">
        <v>210</v>
      </c>
      <c r="B333" s="314"/>
      <c r="C333" s="314"/>
      <c r="D333" s="315"/>
      <c r="E333" s="75">
        <f>E334</f>
        <v>35000</v>
      </c>
      <c r="F333" s="75">
        <f t="shared" ref="F333:G333" si="126">F334</f>
        <v>1000</v>
      </c>
      <c r="G333" s="75">
        <f t="shared" si="126"/>
        <v>1000</v>
      </c>
    </row>
    <row r="334" spans="1:7" x14ac:dyDescent="0.25">
      <c r="A334" s="297" t="s">
        <v>259</v>
      </c>
      <c r="B334" s="298"/>
      <c r="C334" s="298"/>
      <c r="D334" s="299"/>
      <c r="E334" s="58">
        <f t="shared" ref="E334:G334" si="127">E337</f>
        <v>35000</v>
      </c>
      <c r="F334" s="58">
        <f t="shared" si="127"/>
        <v>1000</v>
      </c>
      <c r="G334" s="58">
        <f t="shared" si="127"/>
        <v>1000</v>
      </c>
    </row>
    <row r="335" spans="1:7" x14ac:dyDescent="0.25">
      <c r="A335" s="154" t="s">
        <v>177</v>
      </c>
      <c r="B335" s="151"/>
      <c r="C335" s="151"/>
      <c r="D335" s="152"/>
      <c r="E335" s="153"/>
      <c r="F335" s="153"/>
      <c r="G335" s="153"/>
    </row>
    <row r="336" spans="1:7" x14ac:dyDescent="0.25">
      <c r="A336" s="43" t="s">
        <v>81</v>
      </c>
      <c r="B336" s="43"/>
      <c r="C336" s="43"/>
      <c r="D336" s="43"/>
      <c r="E336" s="53">
        <f>E334</f>
        <v>35000</v>
      </c>
      <c r="F336" s="53">
        <f t="shared" ref="F336:G336" si="128">F334</f>
        <v>1000</v>
      </c>
      <c r="G336" s="53">
        <f t="shared" si="128"/>
        <v>1000</v>
      </c>
    </row>
    <row r="337" spans="1:7" x14ac:dyDescent="0.25">
      <c r="A337" s="285">
        <v>3</v>
      </c>
      <c r="B337" s="286"/>
      <c r="C337" s="287"/>
      <c r="D337" s="39" t="s">
        <v>20</v>
      </c>
      <c r="E337" s="40">
        <f>E338</f>
        <v>35000</v>
      </c>
      <c r="F337" s="40">
        <f t="shared" ref="F337:G337" si="129">F338</f>
        <v>1000</v>
      </c>
      <c r="G337" s="40">
        <f t="shared" si="129"/>
        <v>1000</v>
      </c>
    </row>
    <row r="338" spans="1:7" x14ac:dyDescent="0.25">
      <c r="A338" s="288">
        <v>38</v>
      </c>
      <c r="B338" s="289"/>
      <c r="C338" s="290"/>
      <c r="D338" s="39" t="s">
        <v>55</v>
      </c>
      <c r="E338" s="47">
        <v>35000</v>
      </c>
      <c r="F338" s="47">
        <v>1000</v>
      </c>
      <c r="G338" s="47">
        <v>1000</v>
      </c>
    </row>
    <row r="339" spans="1:7" x14ac:dyDescent="0.25">
      <c r="A339" s="87" t="s">
        <v>91</v>
      </c>
      <c r="B339" s="87"/>
      <c r="C339" s="87"/>
      <c r="D339" s="87"/>
      <c r="E339" s="88">
        <f>E340+E358+E364</f>
        <v>164772</v>
      </c>
      <c r="F339" s="88">
        <f t="shared" ref="F339:G339" si="130">F340+F358+F364</f>
        <v>161660</v>
      </c>
      <c r="G339" s="88">
        <f t="shared" si="130"/>
        <v>129060</v>
      </c>
    </row>
    <row r="340" spans="1:7" x14ac:dyDescent="0.25">
      <c r="A340" s="80" t="s">
        <v>155</v>
      </c>
      <c r="B340" s="80"/>
      <c r="C340" s="80"/>
      <c r="D340" s="80"/>
      <c r="E340" s="81">
        <f>E341+E347+E352</f>
        <v>143060</v>
      </c>
      <c r="F340" s="81">
        <f t="shared" ref="F340:G340" si="131">F341+F347+F352</f>
        <v>139560</v>
      </c>
      <c r="G340" s="81">
        <f t="shared" si="131"/>
        <v>123560</v>
      </c>
    </row>
    <row r="341" spans="1:7" x14ac:dyDescent="0.25">
      <c r="A341" s="54" t="s">
        <v>260</v>
      </c>
      <c r="B341" s="55"/>
      <c r="C341" s="55"/>
      <c r="D341" s="55"/>
      <c r="E341" s="56">
        <f t="shared" ref="E341:G341" si="132">E344</f>
        <v>54500</v>
      </c>
      <c r="F341" s="56">
        <f t="shared" si="132"/>
        <v>51000</v>
      </c>
      <c r="G341" s="56">
        <f t="shared" si="132"/>
        <v>36000</v>
      </c>
    </row>
    <row r="342" spans="1:7" x14ac:dyDescent="0.25">
      <c r="A342" s="154" t="s">
        <v>178</v>
      </c>
      <c r="B342" s="151"/>
      <c r="C342" s="151"/>
      <c r="D342" s="152"/>
      <c r="E342" s="153"/>
      <c r="F342" s="153"/>
      <c r="G342" s="153"/>
    </row>
    <row r="343" spans="1:7" x14ac:dyDescent="0.25">
      <c r="A343" s="43" t="s">
        <v>92</v>
      </c>
      <c r="B343" s="43"/>
      <c r="C343" s="43"/>
      <c r="D343" s="43"/>
      <c r="E343" s="53">
        <f>E341</f>
        <v>54500</v>
      </c>
      <c r="F343" s="53">
        <f t="shared" ref="F343:G343" si="133">F341</f>
        <v>51000</v>
      </c>
      <c r="G343" s="53">
        <f t="shared" si="133"/>
        <v>36000</v>
      </c>
    </row>
    <row r="344" spans="1:7" x14ac:dyDescent="0.25">
      <c r="A344" s="285">
        <v>3</v>
      </c>
      <c r="B344" s="286"/>
      <c r="C344" s="287"/>
      <c r="D344" s="39" t="s">
        <v>20</v>
      </c>
      <c r="E344" s="47">
        <f>E345+E346</f>
        <v>54500</v>
      </c>
      <c r="F344" s="47">
        <f t="shared" ref="F344:G344" si="134">F345+F346</f>
        <v>51000</v>
      </c>
      <c r="G344" s="47">
        <f t="shared" si="134"/>
        <v>36000</v>
      </c>
    </row>
    <row r="345" spans="1:7" ht="38.25" x14ac:dyDescent="0.25">
      <c r="A345" s="288">
        <v>37</v>
      </c>
      <c r="B345" s="289"/>
      <c r="C345" s="290"/>
      <c r="D345" s="39" t="s">
        <v>54</v>
      </c>
      <c r="E345" s="47">
        <v>48500</v>
      </c>
      <c r="F345" s="47">
        <v>45000</v>
      </c>
      <c r="G345" s="47">
        <v>30000</v>
      </c>
    </row>
    <row r="346" spans="1:7" x14ac:dyDescent="0.25">
      <c r="A346" s="288">
        <v>38</v>
      </c>
      <c r="B346" s="289"/>
      <c r="C346" s="290"/>
      <c r="D346" s="39" t="s">
        <v>55</v>
      </c>
      <c r="E346" s="47">
        <v>6000</v>
      </c>
      <c r="F346" s="47">
        <v>6000</v>
      </c>
      <c r="G346" s="47">
        <v>6000</v>
      </c>
    </row>
    <row r="347" spans="1:7" x14ac:dyDescent="0.25">
      <c r="A347" s="54" t="s">
        <v>261</v>
      </c>
      <c r="B347" s="55"/>
      <c r="C347" s="55"/>
      <c r="D347" s="61"/>
      <c r="E347" s="56">
        <f t="shared" ref="E347:G347" si="135">E350</f>
        <v>2000</v>
      </c>
      <c r="F347" s="56">
        <f t="shared" si="135"/>
        <v>2000</v>
      </c>
      <c r="G347" s="56">
        <f t="shared" si="135"/>
        <v>1000</v>
      </c>
    </row>
    <row r="348" spans="1:7" x14ac:dyDescent="0.25">
      <c r="A348" s="154" t="s">
        <v>178</v>
      </c>
      <c r="B348" s="151"/>
      <c r="C348" s="151"/>
      <c r="D348" s="152"/>
      <c r="E348" s="153"/>
      <c r="F348" s="153"/>
      <c r="G348" s="153"/>
    </row>
    <row r="349" spans="1:7" x14ac:dyDescent="0.25">
      <c r="A349" s="43" t="s">
        <v>71</v>
      </c>
      <c r="B349" s="43"/>
      <c r="C349" s="43"/>
      <c r="D349" s="41"/>
      <c r="E349" s="53">
        <f>E347</f>
        <v>2000</v>
      </c>
      <c r="F349" s="53">
        <f t="shared" ref="F349:G349" si="136">F347</f>
        <v>2000</v>
      </c>
      <c r="G349" s="53">
        <f t="shared" si="136"/>
        <v>1000</v>
      </c>
    </row>
    <row r="350" spans="1:7" x14ac:dyDescent="0.25">
      <c r="A350" s="285">
        <v>3</v>
      </c>
      <c r="B350" s="286"/>
      <c r="C350" s="287"/>
      <c r="D350" s="39" t="s">
        <v>20</v>
      </c>
      <c r="E350" s="47">
        <f>E351</f>
        <v>2000</v>
      </c>
      <c r="F350" s="47">
        <f t="shared" ref="F350:G350" si="137">F351</f>
        <v>2000</v>
      </c>
      <c r="G350" s="47">
        <f t="shared" si="137"/>
        <v>1000</v>
      </c>
    </row>
    <row r="351" spans="1:7" ht="38.25" x14ac:dyDescent="0.25">
      <c r="A351" s="288">
        <v>37</v>
      </c>
      <c r="B351" s="289"/>
      <c r="C351" s="290"/>
      <c r="D351" s="39" t="s">
        <v>54</v>
      </c>
      <c r="E351" s="47">
        <v>2000</v>
      </c>
      <c r="F351" s="47">
        <v>2000</v>
      </c>
      <c r="G351" s="47">
        <v>1000</v>
      </c>
    </row>
    <row r="352" spans="1:7" ht="15" customHeight="1" x14ac:dyDescent="0.25">
      <c r="A352" s="332" t="s">
        <v>262</v>
      </c>
      <c r="B352" s="333"/>
      <c r="C352" s="333"/>
      <c r="D352" s="334"/>
      <c r="E352" s="60">
        <f t="shared" ref="E352:G352" si="138">E355</f>
        <v>86560</v>
      </c>
      <c r="F352" s="60">
        <f t="shared" si="138"/>
        <v>86560</v>
      </c>
      <c r="G352" s="60">
        <f t="shared" si="138"/>
        <v>86560</v>
      </c>
    </row>
    <row r="353" spans="1:7" x14ac:dyDescent="0.25">
      <c r="A353" s="154" t="s">
        <v>179</v>
      </c>
      <c r="B353" s="151"/>
      <c r="C353" s="151"/>
      <c r="D353" s="152"/>
      <c r="E353" s="153"/>
      <c r="F353" s="153"/>
      <c r="G353" s="153"/>
    </row>
    <row r="354" spans="1:7" x14ac:dyDescent="0.25">
      <c r="A354" s="300" t="s">
        <v>73</v>
      </c>
      <c r="B354" s="301"/>
      <c r="C354" s="301"/>
      <c r="D354" s="301"/>
      <c r="E354" s="53">
        <f>E352</f>
        <v>86560</v>
      </c>
      <c r="F354" s="53">
        <f t="shared" ref="F354:G354" si="139">F352</f>
        <v>86560</v>
      </c>
      <c r="G354" s="53">
        <f t="shared" si="139"/>
        <v>86560</v>
      </c>
    </row>
    <row r="355" spans="1:7" x14ac:dyDescent="0.25">
      <c r="A355" s="285">
        <v>3</v>
      </c>
      <c r="B355" s="286"/>
      <c r="C355" s="287"/>
      <c r="D355" s="39" t="s">
        <v>20</v>
      </c>
      <c r="E355" s="47">
        <f>E356+E357</f>
        <v>86560</v>
      </c>
      <c r="F355" s="47">
        <f t="shared" ref="F355:G355" si="140">F356+F357</f>
        <v>86560</v>
      </c>
      <c r="G355" s="47">
        <f t="shared" si="140"/>
        <v>86560</v>
      </c>
    </row>
    <row r="356" spans="1:7" x14ac:dyDescent="0.25">
      <c r="A356" s="288">
        <v>31</v>
      </c>
      <c r="B356" s="289"/>
      <c r="C356" s="290"/>
      <c r="D356" s="39" t="s">
        <v>23</v>
      </c>
      <c r="E356" s="47">
        <v>86410</v>
      </c>
      <c r="F356" s="47">
        <v>86410</v>
      </c>
      <c r="G356" s="47">
        <v>86410</v>
      </c>
    </row>
    <row r="357" spans="1:7" x14ac:dyDescent="0.25">
      <c r="A357" s="288">
        <v>32</v>
      </c>
      <c r="B357" s="289"/>
      <c r="C357" s="290"/>
      <c r="D357" s="39" t="s">
        <v>37</v>
      </c>
      <c r="E357" s="47">
        <v>150</v>
      </c>
      <c r="F357" s="47">
        <v>150</v>
      </c>
      <c r="G357" s="47">
        <v>150</v>
      </c>
    </row>
    <row r="358" spans="1:7" x14ac:dyDescent="0.25">
      <c r="A358" s="313" t="s">
        <v>156</v>
      </c>
      <c r="B358" s="314"/>
      <c r="C358" s="314"/>
      <c r="D358" s="315"/>
      <c r="E358" s="76">
        <f>E359</f>
        <v>1100</v>
      </c>
      <c r="F358" s="76">
        <f t="shared" ref="F358:G358" si="141">F359</f>
        <v>1100</v>
      </c>
      <c r="G358" s="76">
        <f t="shared" si="141"/>
        <v>500</v>
      </c>
    </row>
    <row r="359" spans="1:7" x14ac:dyDescent="0.25">
      <c r="A359" s="297" t="s">
        <v>263</v>
      </c>
      <c r="B359" s="298"/>
      <c r="C359" s="298"/>
      <c r="D359" s="299"/>
      <c r="E359" s="58">
        <f t="shared" ref="E359:G359" si="142">E362</f>
        <v>1100</v>
      </c>
      <c r="F359" s="58">
        <f t="shared" si="142"/>
        <v>1100</v>
      </c>
      <c r="G359" s="58">
        <f t="shared" si="142"/>
        <v>500</v>
      </c>
    </row>
    <row r="360" spans="1:7" x14ac:dyDescent="0.25">
      <c r="A360" s="294" t="s">
        <v>180</v>
      </c>
      <c r="B360" s="295"/>
      <c r="C360" s="295"/>
      <c r="D360" s="295"/>
      <c r="E360" s="295"/>
      <c r="F360" s="295"/>
      <c r="G360" s="296"/>
    </row>
    <row r="361" spans="1:7" x14ac:dyDescent="0.25">
      <c r="A361" s="42" t="s">
        <v>71</v>
      </c>
      <c r="B361" s="42"/>
      <c r="C361" s="42"/>
      <c r="D361" s="42"/>
      <c r="E361" s="53">
        <f>E359</f>
        <v>1100</v>
      </c>
      <c r="F361" s="53">
        <f t="shared" ref="F361:G361" si="143">F359</f>
        <v>1100</v>
      </c>
      <c r="G361" s="53">
        <f t="shared" si="143"/>
        <v>500</v>
      </c>
    </row>
    <row r="362" spans="1:7" x14ac:dyDescent="0.25">
      <c r="A362" s="285">
        <v>3</v>
      </c>
      <c r="B362" s="286"/>
      <c r="C362" s="287"/>
      <c r="D362" s="39" t="s">
        <v>20</v>
      </c>
      <c r="E362" s="47">
        <f>E363</f>
        <v>1100</v>
      </c>
      <c r="F362" s="47">
        <f t="shared" ref="F362:G362" si="144">F363</f>
        <v>1100</v>
      </c>
      <c r="G362" s="47">
        <f t="shared" si="144"/>
        <v>500</v>
      </c>
    </row>
    <row r="363" spans="1:7" x14ac:dyDescent="0.25">
      <c r="A363" s="288">
        <v>38</v>
      </c>
      <c r="B363" s="289"/>
      <c r="C363" s="290"/>
      <c r="D363" s="39" t="s">
        <v>55</v>
      </c>
      <c r="E363" s="47">
        <v>1100</v>
      </c>
      <c r="F363" s="47">
        <v>1100</v>
      </c>
      <c r="G363" s="47">
        <v>500</v>
      </c>
    </row>
    <row r="364" spans="1:7" x14ac:dyDescent="0.25">
      <c r="A364" s="313" t="s">
        <v>157</v>
      </c>
      <c r="B364" s="314"/>
      <c r="C364" s="314"/>
      <c r="D364" s="315"/>
      <c r="E364" s="74">
        <f>E365</f>
        <v>20612</v>
      </c>
      <c r="F364" s="74">
        <f t="shared" ref="F364:G364" si="145">F365</f>
        <v>21000</v>
      </c>
      <c r="G364" s="74">
        <f t="shared" si="145"/>
        <v>5000</v>
      </c>
    </row>
    <row r="365" spans="1:7" ht="30" customHeight="1" x14ac:dyDescent="0.25">
      <c r="A365" s="332" t="s">
        <v>264</v>
      </c>
      <c r="B365" s="333"/>
      <c r="C365" s="333"/>
      <c r="D365" s="334"/>
      <c r="E365" s="56">
        <f t="shared" ref="E365:G365" si="146">E368</f>
        <v>20612</v>
      </c>
      <c r="F365" s="56">
        <f t="shared" si="146"/>
        <v>21000</v>
      </c>
      <c r="G365" s="56">
        <f t="shared" si="146"/>
        <v>5000</v>
      </c>
    </row>
    <row r="366" spans="1:7" x14ac:dyDescent="0.25">
      <c r="A366" s="154" t="s">
        <v>181</v>
      </c>
      <c r="B366" s="151"/>
      <c r="C366" s="151"/>
      <c r="D366" s="152"/>
      <c r="E366" s="153"/>
      <c r="F366" s="153"/>
      <c r="G366" s="153"/>
    </row>
    <row r="367" spans="1:7" x14ac:dyDescent="0.25">
      <c r="A367" s="42" t="s">
        <v>71</v>
      </c>
      <c r="B367" s="42"/>
      <c r="C367" s="42"/>
      <c r="D367" s="42"/>
      <c r="E367" s="53">
        <f>E365</f>
        <v>20612</v>
      </c>
      <c r="F367" s="53">
        <f t="shared" ref="F367:G367" si="147">F365</f>
        <v>21000</v>
      </c>
      <c r="G367" s="53">
        <f t="shared" si="147"/>
        <v>5000</v>
      </c>
    </row>
    <row r="368" spans="1:7" x14ac:dyDescent="0.25">
      <c r="A368" s="285">
        <v>3</v>
      </c>
      <c r="B368" s="286"/>
      <c r="C368" s="287"/>
      <c r="D368" s="39" t="s">
        <v>20</v>
      </c>
      <c r="E368" s="40">
        <f>E369</f>
        <v>20612</v>
      </c>
      <c r="F368" s="40">
        <f t="shared" ref="F368:G368" si="148">F369</f>
        <v>21000</v>
      </c>
      <c r="G368" s="40">
        <f t="shared" si="148"/>
        <v>5000</v>
      </c>
    </row>
    <row r="369" spans="1:7" x14ac:dyDescent="0.25">
      <c r="A369" s="288">
        <v>38</v>
      </c>
      <c r="B369" s="289"/>
      <c r="C369" s="290"/>
      <c r="D369" s="39" t="s">
        <v>55</v>
      </c>
      <c r="E369" s="47">
        <v>20612</v>
      </c>
      <c r="F369" s="47">
        <v>21000</v>
      </c>
      <c r="G369" s="47">
        <v>5000</v>
      </c>
    </row>
    <row r="370" spans="1:7" x14ac:dyDescent="0.25">
      <c r="A370" s="365" t="s">
        <v>93</v>
      </c>
      <c r="B370" s="366"/>
      <c r="C370" s="366"/>
      <c r="D370" s="367"/>
      <c r="E370" s="86">
        <f t="shared" ref="E370:G371" si="149">E371</f>
        <v>12000</v>
      </c>
      <c r="F370" s="86">
        <f t="shared" si="149"/>
        <v>11000</v>
      </c>
      <c r="G370" s="86">
        <f t="shared" si="149"/>
        <v>5000</v>
      </c>
    </row>
    <row r="371" spans="1:7" x14ac:dyDescent="0.25">
      <c r="A371" s="73" t="s">
        <v>158</v>
      </c>
      <c r="B371" s="73"/>
      <c r="C371" s="73"/>
      <c r="D371" s="73"/>
      <c r="E371" s="76">
        <f t="shared" si="149"/>
        <v>12000</v>
      </c>
      <c r="F371" s="76">
        <f t="shared" si="149"/>
        <v>11000</v>
      </c>
      <c r="G371" s="76">
        <f t="shared" si="149"/>
        <v>5000</v>
      </c>
    </row>
    <row r="372" spans="1:7" x14ac:dyDescent="0.25">
      <c r="A372" s="54" t="s">
        <v>265</v>
      </c>
      <c r="B372" s="55"/>
      <c r="C372" s="55"/>
      <c r="D372" s="55"/>
      <c r="E372" s="56">
        <f t="shared" ref="E372:G372" si="150">E375</f>
        <v>12000</v>
      </c>
      <c r="F372" s="56">
        <f t="shared" si="150"/>
        <v>11000</v>
      </c>
      <c r="G372" s="56">
        <f t="shared" si="150"/>
        <v>5000</v>
      </c>
    </row>
    <row r="373" spans="1:7" x14ac:dyDescent="0.25">
      <c r="A373" s="154" t="s">
        <v>182</v>
      </c>
      <c r="B373" s="151"/>
      <c r="C373" s="151"/>
      <c r="D373" s="152"/>
      <c r="E373" s="153"/>
      <c r="F373" s="153"/>
      <c r="G373" s="153"/>
    </row>
    <row r="374" spans="1:7" x14ac:dyDescent="0.25">
      <c r="A374" s="42" t="s">
        <v>71</v>
      </c>
      <c r="B374" s="42"/>
      <c r="C374" s="42"/>
      <c r="D374" s="42"/>
      <c r="E374" s="53">
        <f>E372</f>
        <v>12000</v>
      </c>
      <c r="F374" s="53">
        <f t="shared" ref="F374:G374" si="151">F372</f>
        <v>11000</v>
      </c>
      <c r="G374" s="53">
        <f t="shared" si="151"/>
        <v>5000</v>
      </c>
    </row>
    <row r="375" spans="1:7" x14ac:dyDescent="0.25">
      <c r="A375" s="285">
        <v>3</v>
      </c>
      <c r="B375" s="286"/>
      <c r="C375" s="287"/>
      <c r="D375" s="39" t="s">
        <v>20</v>
      </c>
      <c r="E375" s="40">
        <f>E376</f>
        <v>12000</v>
      </c>
      <c r="F375" s="40">
        <f t="shared" ref="F375:G375" si="152">F376</f>
        <v>11000</v>
      </c>
      <c r="G375" s="40">
        <f t="shared" si="152"/>
        <v>5000</v>
      </c>
    </row>
    <row r="376" spans="1:7" x14ac:dyDescent="0.25">
      <c r="A376" s="288">
        <v>38</v>
      </c>
      <c r="B376" s="289"/>
      <c r="C376" s="290"/>
      <c r="D376" s="39" t="s">
        <v>55</v>
      </c>
      <c r="E376" s="47">
        <v>12000</v>
      </c>
      <c r="F376" s="47">
        <v>11000</v>
      </c>
      <c r="G376" s="47">
        <v>5000</v>
      </c>
    </row>
    <row r="377" spans="1:7" x14ac:dyDescent="0.25">
      <c r="E377" s="33"/>
      <c r="F377" s="33"/>
      <c r="G377" s="33"/>
    </row>
    <row r="378" spans="1:7" x14ac:dyDescent="0.25">
      <c r="A378" s="405" t="s">
        <v>202</v>
      </c>
      <c r="B378" s="405"/>
      <c r="C378" s="405"/>
      <c r="D378" s="405"/>
      <c r="E378" s="405"/>
      <c r="F378" s="405"/>
      <c r="G378" s="405"/>
    </row>
    <row r="379" spans="1:7" x14ac:dyDescent="0.25">
      <c r="E379" s="33"/>
      <c r="F379" s="33"/>
      <c r="G379" s="33"/>
    </row>
    <row r="380" spans="1:7" s="110" customFormat="1" ht="12.75" x14ac:dyDescent="0.2">
      <c r="A380" s="110" t="s">
        <v>203</v>
      </c>
      <c r="E380" s="128"/>
      <c r="F380" s="128"/>
      <c r="G380" s="128"/>
    </row>
    <row r="381" spans="1:7" x14ac:dyDescent="0.25">
      <c r="E381" s="33"/>
      <c r="F381" s="33"/>
      <c r="G381" s="33"/>
    </row>
    <row r="382" spans="1:7" x14ac:dyDescent="0.25">
      <c r="E382" s="33"/>
      <c r="F382" s="33"/>
      <c r="G382" s="33"/>
    </row>
    <row r="383" spans="1:7" x14ac:dyDescent="0.25">
      <c r="E383" s="33"/>
      <c r="F383" s="33"/>
      <c r="G383" s="33"/>
    </row>
    <row r="384" spans="1:7" x14ac:dyDescent="0.25">
      <c r="A384" s="405" t="s">
        <v>204</v>
      </c>
      <c r="B384" s="405"/>
      <c r="C384" s="405"/>
      <c r="D384" s="405"/>
      <c r="E384" s="405"/>
      <c r="F384" s="405"/>
      <c r="G384" s="405"/>
    </row>
    <row r="385" spans="1:7" x14ac:dyDescent="0.25">
      <c r="E385" s="33"/>
      <c r="F385" s="33"/>
      <c r="G385" s="33"/>
    </row>
    <row r="386" spans="1:7" x14ac:dyDescent="0.25">
      <c r="A386" s="405" t="s">
        <v>205</v>
      </c>
      <c r="B386" s="405"/>
      <c r="C386" s="405"/>
      <c r="D386" s="405"/>
      <c r="E386" s="405"/>
      <c r="F386" s="405"/>
      <c r="G386" s="405"/>
    </row>
    <row r="387" spans="1:7" x14ac:dyDescent="0.25">
      <c r="E387" s="33"/>
      <c r="F387" s="33"/>
      <c r="G387" s="33"/>
    </row>
    <row r="388" spans="1:7" x14ac:dyDescent="0.25">
      <c r="A388" s="406" t="s">
        <v>206</v>
      </c>
      <c r="B388" s="406"/>
      <c r="C388" s="406"/>
      <c r="D388" s="406"/>
      <c r="E388" s="406"/>
      <c r="F388" s="406"/>
      <c r="G388" s="406"/>
    </row>
    <row r="389" spans="1:7" x14ac:dyDescent="0.25">
      <c r="A389" s="385" t="s">
        <v>207</v>
      </c>
      <c r="B389" s="385"/>
      <c r="C389" s="385"/>
      <c r="D389" s="385"/>
      <c r="E389" s="385"/>
      <c r="F389" s="385"/>
      <c r="G389" s="385"/>
    </row>
    <row r="390" spans="1:7" x14ac:dyDescent="0.25">
      <c r="A390" s="91"/>
      <c r="B390" s="91"/>
      <c r="C390" s="91"/>
      <c r="D390" s="91"/>
      <c r="E390" s="91"/>
      <c r="F390" s="91"/>
      <c r="G390" s="91"/>
    </row>
    <row r="391" spans="1:7" x14ac:dyDescent="0.25">
      <c r="A391" s="91"/>
      <c r="B391" s="91"/>
      <c r="C391" s="91"/>
      <c r="D391" s="91"/>
      <c r="E391" s="91"/>
      <c r="F391" s="91"/>
      <c r="G391" s="91"/>
    </row>
    <row r="392" spans="1:7" x14ac:dyDescent="0.25">
      <c r="A392" s="91"/>
      <c r="B392" s="91"/>
      <c r="C392" s="91"/>
      <c r="D392" s="91"/>
      <c r="E392" s="91"/>
      <c r="F392" s="91"/>
      <c r="G392" s="91"/>
    </row>
    <row r="393" spans="1:7" x14ac:dyDescent="0.25">
      <c r="A393" t="s">
        <v>300</v>
      </c>
      <c r="E393" s="33"/>
      <c r="F393" s="33"/>
      <c r="G393" s="33"/>
    </row>
    <row r="394" spans="1:7" x14ac:dyDescent="0.25">
      <c r="A394" t="s">
        <v>299</v>
      </c>
      <c r="E394" s="33"/>
      <c r="F394" s="33"/>
      <c r="G394" s="33"/>
    </row>
    <row r="395" spans="1:7" x14ac:dyDescent="0.25">
      <c r="A395" t="s">
        <v>298</v>
      </c>
      <c r="E395" s="33"/>
      <c r="F395" s="33"/>
      <c r="G395" s="33"/>
    </row>
    <row r="396" spans="1:7" x14ac:dyDescent="0.25">
      <c r="E396" s="33"/>
      <c r="F396" s="33"/>
      <c r="G396" s="33"/>
    </row>
  </sheetData>
  <mergeCells count="272">
    <mergeCell ref="A378:G378"/>
    <mergeCell ref="A384:G384"/>
    <mergeCell ref="A386:G386"/>
    <mergeCell ref="A388:G388"/>
    <mergeCell ref="A389:G389"/>
    <mergeCell ref="A52:D52"/>
    <mergeCell ref="A54:D54"/>
    <mergeCell ref="A55:C55"/>
    <mergeCell ref="A56:C56"/>
    <mergeCell ref="A59:D59"/>
    <mergeCell ref="A57:D57"/>
    <mergeCell ref="A60:C60"/>
    <mergeCell ref="A61:C61"/>
    <mergeCell ref="F228:F230"/>
    <mergeCell ref="G228:G230"/>
    <mergeCell ref="A241:C241"/>
    <mergeCell ref="A236:C236"/>
    <mergeCell ref="A181:D181"/>
    <mergeCell ref="A185:C185"/>
    <mergeCell ref="A186:C186"/>
    <mergeCell ref="A247:C247"/>
    <mergeCell ref="A248:C248"/>
    <mergeCell ref="E187:E188"/>
    <mergeCell ref="A226:C226"/>
    <mergeCell ref="A189:D189"/>
    <mergeCell ref="F187:F188"/>
    <mergeCell ref="G187:G188"/>
    <mergeCell ref="A187:D187"/>
    <mergeCell ref="A242:C242"/>
    <mergeCell ref="E228:E230"/>
    <mergeCell ref="A222:D222"/>
    <mergeCell ref="A214:C214"/>
    <mergeCell ref="A199:C199"/>
    <mergeCell ref="A200:C200"/>
    <mergeCell ref="A201:C201"/>
    <mergeCell ref="A205:C205"/>
    <mergeCell ref="A206:C206"/>
    <mergeCell ref="A219:C219"/>
    <mergeCell ref="A220:C220"/>
    <mergeCell ref="A202:D202"/>
    <mergeCell ref="A207:D207"/>
    <mergeCell ref="A211:C211"/>
    <mergeCell ref="A212:C212"/>
    <mergeCell ref="A213:C213"/>
    <mergeCell ref="A227:C227"/>
    <mergeCell ref="A223:D223"/>
    <mergeCell ref="A234:C234"/>
    <mergeCell ref="A235:C235"/>
    <mergeCell ref="A141:C141"/>
    <mergeCell ref="A105:D105"/>
    <mergeCell ref="A107:C107"/>
    <mergeCell ref="A99:D99"/>
    <mergeCell ref="A101:D101"/>
    <mergeCell ref="A87:C87"/>
    <mergeCell ref="A88:C88"/>
    <mergeCell ref="A174:D174"/>
    <mergeCell ref="A179:C179"/>
    <mergeCell ref="G95:G96"/>
    <mergeCell ref="E98:E99"/>
    <mergeCell ref="F98:F99"/>
    <mergeCell ref="G98:G99"/>
    <mergeCell ref="A82:D82"/>
    <mergeCell ref="A138:D138"/>
    <mergeCell ref="A132:D132"/>
    <mergeCell ref="A133:D133"/>
    <mergeCell ref="A134:C134"/>
    <mergeCell ref="A135:C135"/>
    <mergeCell ref="A8:G8"/>
    <mergeCell ref="A7:G7"/>
    <mergeCell ref="A25:D25"/>
    <mergeCell ref="A28:C28"/>
    <mergeCell ref="A86:C86"/>
    <mergeCell ref="A47:D47"/>
    <mergeCell ref="A48:C48"/>
    <mergeCell ref="A49:C49"/>
    <mergeCell ref="A50:C50"/>
    <mergeCell ref="A68:D68"/>
    <mergeCell ref="A71:C71"/>
    <mergeCell ref="A67:D67"/>
    <mergeCell ref="A70:D70"/>
    <mergeCell ref="A72:C72"/>
    <mergeCell ref="A33:C33"/>
    <mergeCell ref="A32:C32"/>
    <mergeCell ref="A34:D34"/>
    <mergeCell ref="A36:D36"/>
    <mergeCell ref="A37:D37"/>
    <mergeCell ref="A42:C42"/>
    <mergeCell ref="A43:C43"/>
    <mergeCell ref="A44:C44"/>
    <mergeCell ref="G82:G83"/>
    <mergeCell ref="A106:D106"/>
    <mergeCell ref="A127:D127"/>
    <mergeCell ref="A139:D139"/>
    <mergeCell ref="A130:D130"/>
    <mergeCell ref="A104:D104"/>
    <mergeCell ref="E82:E83"/>
    <mergeCell ref="F82:F83"/>
    <mergeCell ref="A89:D89"/>
    <mergeCell ref="A90:D90"/>
    <mergeCell ref="A92:D92"/>
    <mergeCell ref="A93:C93"/>
    <mergeCell ref="A94:C94"/>
    <mergeCell ref="A96:D96"/>
    <mergeCell ref="A97:D97"/>
    <mergeCell ref="A108:C108"/>
    <mergeCell ref="A128:C128"/>
    <mergeCell ref="A85:D85"/>
    <mergeCell ref="A129:C129"/>
    <mergeCell ref="A98:D98"/>
    <mergeCell ref="A136:D136"/>
    <mergeCell ref="A103:D103"/>
    <mergeCell ref="E95:E96"/>
    <mergeCell ref="F95:F96"/>
    <mergeCell ref="A40:D40"/>
    <mergeCell ref="A39:D39"/>
    <mergeCell ref="A73:D73"/>
    <mergeCell ref="A77:C77"/>
    <mergeCell ref="A78:C78"/>
    <mergeCell ref="A74:D74"/>
    <mergeCell ref="A76:D76"/>
    <mergeCell ref="A41:D41"/>
    <mergeCell ref="A2:G2"/>
    <mergeCell ref="A20:C20"/>
    <mergeCell ref="A27:C27"/>
    <mergeCell ref="A22:C22"/>
    <mergeCell ref="A21:C21"/>
    <mergeCell ref="A26:C26"/>
    <mergeCell ref="A4:G4"/>
    <mergeCell ref="A11:C11"/>
    <mergeCell ref="A19:C19"/>
    <mergeCell ref="A13:D13"/>
    <mergeCell ref="A14:D14"/>
    <mergeCell ref="A16:D16"/>
    <mergeCell ref="A18:D18"/>
    <mergeCell ref="A23:D23"/>
    <mergeCell ref="A29:D29"/>
    <mergeCell ref="A6:G6"/>
    <mergeCell ref="A12:D12"/>
    <mergeCell ref="A362:C362"/>
    <mergeCell ref="A363:C363"/>
    <mergeCell ref="A365:D365"/>
    <mergeCell ref="A368:C368"/>
    <mergeCell ref="A369:C369"/>
    <mergeCell ref="A370:D370"/>
    <mergeCell ref="A375:C375"/>
    <mergeCell ref="A355:C355"/>
    <mergeCell ref="A356:C356"/>
    <mergeCell ref="A357:C357"/>
    <mergeCell ref="A358:D358"/>
    <mergeCell ref="A359:D359"/>
    <mergeCell ref="A344:C344"/>
    <mergeCell ref="A345:C345"/>
    <mergeCell ref="A350:C350"/>
    <mergeCell ref="A351:C351"/>
    <mergeCell ref="A354:D354"/>
    <mergeCell ref="A279:D279"/>
    <mergeCell ref="A337:C337"/>
    <mergeCell ref="A338:C338"/>
    <mergeCell ref="A321:D321"/>
    <mergeCell ref="A325:C325"/>
    <mergeCell ref="A45:D45"/>
    <mergeCell ref="A254:C254"/>
    <mergeCell ref="A255:D255"/>
    <mergeCell ref="A272:C272"/>
    <mergeCell ref="A273:C273"/>
    <mergeCell ref="A274:C274"/>
    <mergeCell ref="A275:C275"/>
    <mergeCell ref="A276:C276"/>
    <mergeCell ref="A277:C277"/>
    <mergeCell ref="A376:C376"/>
    <mergeCell ref="A147:C147"/>
    <mergeCell ref="A142:C142"/>
    <mergeCell ref="A243:D243"/>
    <mergeCell ref="A167:C167"/>
    <mergeCell ref="A168:C168"/>
    <mergeCell ref="A169:D169"/>
    <mergeCell ref="A172:C172"/>
    <mergeCell ref="A173:C173"/>
    <mergeCell ref="A253:C253"/>
    <mergeCell ref="A143:D143"/>
    <mergeCell ref="A144:D144"/>
    <mergeCell ref="A156:D156"/>
    <mergeCell ref="A160:C160"/>
    <mergeCell ref="A161:C161"/>
    <mergeCell ref="A162:D163"/>
    <mergeCell ref="A180:C180"/>
    <mergeCell ref="A221:C221"/>
    <mergeCell ref="A193:C193"/>
    <mergeCell ref="A194:C194"/>
    <mergeCell ref="A217:G217"/>
    <mergeCell ref="E189:E190"/>
    <mergeCell ref="F189:F190"/>
    <mergeCell ref="G189:G190"/>
    <mergeCell ref="A190:D190"/>
    <mergeCell ref="A288:C288"/>
    <mergeCell ref="A312:C312"/>
    <mergeCell ref="A313:D313"/>
    <mergeCell ref="A314:D314"/>
    <mergeCell ref="A317:C317"/>
    <mergeCell ref="A326:C326"/>
    <mergeCell ref="A328:D328"/>
    <mergeCell ref="A280:D280"/>
    <mergeCell ref="A302:C302"/>
    <mergeCell ref="A304:D304"/>
    <mergeCell ref="A306:D306"/>
    <mergeCell ref="A289:C289"/>
    <mergeCell ref="E279:E280"/>
    <mergeCell ref="F279:F280"/>
    <mergeCell ref="G279:G280"/>
    <mergeCell ref="E291:E292"/>
    <mergeCell ref="F291:F292"/>
    <mergeCell ref="G291:G292"/>
    <mergeCell ref="E303:E304"/>
    <mergeCell ref="F303:F304"/>
    <mergeCell ref="G303:G304"/>
    <mergeCell ref="A310:C310"/>
    <mergeCell ref="A311:C311"/>
    <mergeCell ref="E321:E322"/>
    <mergeCell ref="F321:F322"/>
    <mergeCell ref="G321:G322"/>
    <mergeCell ref="A331:C331"/>
    <mergeCell ref="A332:C332"/>
    <mergeCell ref="A334:D334"/>
    <mergeCell ref="A333:D333"/>
    <mergeCell ref="A177:D177"/>
    <mergeCell ref="A102:D102"/>
    <mergeCell ref="A364:D364"/>
    <mergeCell ref="A109:D109"/>
    <mergeCell ref="A114:D114"/>
    <mergeCell ref="A111:D111"/>
    <mergeCell ref="A116:D116"/>
    <mergeCell ref="A119:D119"/>
    <mergeCell ref="A121:D121"/>
    <mergeCell ref="A228:D230"/>
    <mergeCell ref="A238:D238"/>
    <mergeCell ref="A285:D285"/>
    <mergeCell ref="A154:C154"/>
    <mergeCell ref="A352:D352"/>
    <mergeCell ref="A283:C283"/>
    <mergeCell ref="A284:C284"/>
    <mergeCell ref="A290:D290"/>
    <mergeCell ref="A291:D291"/>
    <mergeCell ref="A292:D292"/>
    <mergeCell ref="A295:C295"/>
    <mergeCell ref="A296:C296"/>
    <mergeCell ref="A262:C262"/>
    <mergeCell ref="A263:C263"/>
    <mergeCell ref="A318:C318"/>
    <mergeCell ref="A249:D249"/>
    <mergeCell ref="A301:C301"/>
    <mergeCell ref="A260:C260"/>
    <mergeCell ref="A261:C261"/>
    <mergeCell ref="A256:D256"/>
    <mergeCell ref="A346:C346"/>
    <mergeCell ref="A360:G360"/>
    <mergeCell ref="A62:D62"/>
    <mergeCell ref="A64:D64"/>
    <mergeCell ref="A65:C65"/>
    <mergeCell ref="A66:C66"/>
    <mergeCell ref="A79:C79"/>
    <mergeCell ref="A112:C112"/>
    <mergeCell ref="A113:C113"/>
    <mergeCell ref="A117:C117"/>
    <mergeCell ref="A118:C118"/>
    <mergeCell ref="A122:C122"/>
    <mergeCell ref="A123:C123"/>
    <mergeCell ref="E162:E163"/>
    <mergeCell ref="F162:F163"/>
    <mergeCell ref="G162:G163"/>
    <mergeCell ref="E149:E150"/>
    <mergeCell ref="F149:F150"/>
    <mergeCell ref="G149:G150"/>
  </mergeCells>
  <pageMargins left="0.70866141732283472" right="0.11811023622047245" top="0.55118110236220474" bottom="0.55118110236220474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Prenesena sredstva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Opcina ferdinandovac</cp:lastModifiedBy>
  <cp:lastPrinted>2023-11-22T09:09:20Z</cp:lastPrinted>
  <dcterms:created xsi:type="dcterms:W3CDTF">2022-08-12T12:51:27Z</dcterms:created>
  <dcterms:modified xsi:type="dcterms:W3CDTF">2023-11-22T10:45:46Z</dcterms:modified>
</cp:coreProperties>
</file>