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Radna površina Helena\OV\saziv 2021-2025\za proračun 2025\"/>
    </mc:Choice>
  </mc:AlternateContent>
  <xr:revisionPtr revIDLastSave="0" documentId="13_ncr:1_{B024DF71-F077-4D71-85E5-694C2F219ACD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SAŽETAK" sheetId="1" r:id="rId1"/>
    <sheet name=" Račun prihoda i rashoda" sheetId="3" r:id="rId2"/>
    <sheet name="Prihodi i rashodi po izvorima" sheetId="11" r:id="rId3"/>
    <sheet name="Rashodi prema funkcijskoj kl" sheetId="5" r:id="rId4"/>
    <sheet name="Račun financiranja" sheetId="6" r:id="rId5"/>
    <sheet name="Prenesena sredstva" sheetId="15" r:id="rId6"/>
    <sheet name="POSEBNI DIO" sheetId="7" r:id="rId7"/>
    <sheet name="Plan prihoda RADNI" sheetId="17" state="hidden" r:id="rId8"/>
    <sheet name="plan rashoda RADNI" sheetId="16" state="hidden" r:id="rId9"/>
  </sheets>
  <externalReferences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5" i="7" l="1"/>
  <c r="G425" i="7"/>
  <c r="E425" i="7"/>
  <c r="F393" i="7"/>
  <c r="G393" i="7"/>
  <c r="E393" i="7"/>
  <c r="F392" i="7"/>
  <c r="G392" i="7"/>
  <c r="E392" i="7"/>
  <c r="F371" i="7"/>
  <c r="G371" i="7"/>
  <c r="E371" i="7"/>
  <c r="F355" i="7"/>
  <c r="G355" i="7"/>
  <c r="E355" i="7"/>
  <c r="F354" i="7"/>
  <c r="G354" i="7"/>
  <c r="E354" i="7"/>
  <c r="G312" i="7"/>
  <c r="G310" i="7"/>
  <c r="F312" i="7"/>
  <c r="F310" i="7"/>
  <c r="F311" i="7"/>
  <c r="G311" i="7"/>
  <c r="E311" i="7"/>
  <c r="E310" i="7"/>
  <c r="F117" i="7"/>
  <c r="G117" i="7"/>
  <c r="G116" i="7"/>
  <c r="F116" i="7"/>
  <c r="E117" i="7" l="1"/>
  <c r="G95" i="7"/>
  <c r="F95" i="7"/>
  <c r="G49" i="7"/>
  <c r="G48" i="7"/>
  <c r="G47" i="7"/>
  <c r="F49" i="7"/>
  <c r="F48" i="7"/>
  <c r="F47" i="7"/>
  <c r="E49" i="7"/>
  <c r="F13" i="7"/>
  <c r="G13" i="7"/>
  <c r="F12" i="7"/>
  <c r="G12" i="7"/>
  <c r="E13" i="7"/>
  <c r="E12" i="7"/>
  <c r="C13" i="11" l="1"/>
  <c r="M33" i="7"/>
  <c r="M31" i="7"/>
  <c r="M35" i="7" s="1"/>
  <c r="L31" i="7"/>
  <c r="L33" i="7"/>
  <c r="L44" i="7"/>
  <c r="M44" i="7"/>
  <c r="M45" i="7"/>
  <c r="L45" i="7"/>
  <c r="F277" i="7"/>
  <c r="F304" i="7"/>
  <c r="G303" i="7"/>
  <c r="D68" i="11"/>
  <c r="D51" i="11"/>
  <c r="K31" i="7"/>
  <c r="E55" i="7"/>
  <c r="E47" i="7" s="1"/>
  <c r="E103" i="7"/>
  <c r="E95" i="7" s="1"/>
  <c r="D19" i="11"/>
  <c r="K32" i="7"/>
  <c r="E318" i="7"/>
  <c r="E312" i="7" s="1"/>
  <c r="K36" i="7"/>
  <c r="D13" i="11"/>
  <c r="D54" i="11"/>
  <c r="E57" i="7"/>
  <c r="D65" i="11"/>
  <c r="D59" i="11" s="1"/>
  <c r="D25" i="11"/>
  <c r="K38" i="7"/>
  <c r="K39" i="7"/>
  <c r="K40" i="7"/>
  <c r="K41" i="7"/>
  <c r="K42" i="7"/>
  <c r="E164" i="7"/>
  <c r="E137" i="7"/>
  <c r="E123" i="7"/>
  <c r="E197" i="7"/>
  <c r="L46" i="7" l="1"/>
  <c r="F118" i="7"/>
  <c r="E116" i="7"/>
  <c r="M46" i="7"/>
  <c r="M50" i="7" s="1"/>
  <c r="M52" i="7" s="1"/>
  <c r="G118" i="7"/>
  <c r="K43" i="7"/>
  <c r="K44" i="7" s="1"/>
  <c r="E48" i="7"/>
  <c r="L35" i="7"/>
  <c r="L50" i="7"/>
  <c r="K33" i="7"/>
  <c r="K35" i="7" s="1"/>
  <c r="F54" i="11"/>
  <c r="F13" i="11"/>
  <c r="E13" i="11"/>
  <c r="E205" i="7"/>
  <c r="K46" i="7" s="1"/>
  <c r="L52" i="7" l="1"/>
  <c r="E59" i="11"/>
  <c r="F59" i="11"/>
  <c r="H21" i="1"/>
  <c r="F34" i="3"/>
  <c r="D67" i="11"/>
  <c r="D24" i="5"/>
  <c r="H17" i="1"/>
  <c r="F12" i="3"/>
  <c r="D27" i="11"/>
  <c r="H33" i="3"/>
  <c r="G33" i="3"/>
  <c r="F33" i="3"/>
  <c r="E33" i="3"/>
  <c r="D33" i="3"/>
  <c r="E30" i="5"/>
  <c r="F30" i="5"/>
  <c r="D30" i="5"/>
  <c r="E35" i="5"/>
  <c r="F35" i="5"/>
  <c r="D35" i="5"/>
  <c r="F42" i="5"/>
  <c r="F40" i="5" s="1"/>
  <c r="E42" i="5"/>
  <c r="E40" i="5" s="1"/>
  <c r="D42" i="5"/>
  <c r="F24" i="5"/>
  <c r="E24" i="5"/>
  <c r="F22" i="5"/>
  <c r="F20" i="5" s="1"/>
  <c r="E22" i="5"/>
  <c r="E20" i="5" s="1"/>
  <c r="D22" i="5"/>
  <c r="D20" i="5" s="1"/>
  <c r="F26" i="5"/>
  <c r="E26" i="5"/>
  <c r="D26" i="5"/>
  <c r="F17" i="5"/>
  <c r="F16" i="5" s="1"/>
  <c r="E17" i="5"/>
  <c r="D17" i="5"/>
  <c r="F18" i="5"/>
  <c r="E18" i="5"/>
  <c r="D18" i="5"/>
  <c r="D43" i="5"/>
  <c r="F19" i="5"/>
  <c r="E19" i="5"/>
  <c r="D19" i="5"/>
  <c r="F11" i="5"/>
  <c r="E11" i="5"/>
  <c r="D11" i="5"/>
  <c r="F9" i="5"/>
  <c r="E9" i="5"/>
  <c r="D9" i="5"/>
  <c r="D16" i="5" l="1"/>
  <c r="E8" i="5"/>
  <c r="F8" i="5"/>
  <c r="E16" i="5"/>
  <c r="E23" i="5"/>
  <c r="F23" i="5"/>
  <c r="D8" i="5"/>
  <c r="D40" i="5"/>
  <c r="D23" i="5"/>
  <c r="E52" i="11"/>
  <c r="E66" i="11"/>
  <c r="F27" i="11"/>
  <c r="E27" i="11"/>
  <c r="O9" i="17"/>
  <c r="P9" i="17"/>
  <c r="P3" i="17"/>
  <c r="O3" i="17"/>
  <c r="P31" i="17"/>
  <c r="O31" i="17"/>
  <c r="P43" i="17"/>
  <c r="O43" i="17"/>
  <c r="O52" i="17"/>
  <c r="P52" i="17"/>
  <c r="O55" i="17"/>
  <c r="O54" i="17" s="1"/>
  <c r="P55" i="17"/>
  <c r="P54" i="17" s="1"/>
  <c r="G323" i="7"/>
  <c r="M20" i="7"/>
  <c r="L20" i="7"/>
  <c r="M19" i="7"/>
  <c r="L19" i="7"/>
  <c r="M16" i="7"/>
  <c r="L16" i="7"/>
  <c r="M15" i="7"/>
  <c r="L15" i="7"/>
  <c r="M14" i="7"/>
  <c r="L14" i="7"/>
  <c r="M11" i="7"/>
  <c r="L11" i="7"/>
  <c r="M10" i="7"/>
  <c r="L10" i="7"/>
  <c r="M8" i="7"/>
  <c r="L8" i="7"/>
  <c r="K20" i="7"/>
  <c r="K19" i="7"/>
  <c r="K16" i="7"/>
  <c r="K15" i="7"/>
  <c r="K14" i="7"/>
  <c r="K11" i="7"/>
  <c r="K10" i="7"/>
  <c r="K9" i="7"/>
  <c r="K8" i="7"/>
  <c r="G230" i="7"/>
  <c r="G224" i="7" s="1"/>
  <c r="F230" i="7"/>
  <c r="F224" i="7" s="1"/>
  <c r="E31" i="7"/>
  <c r="E28" i="7" s="1"/>
  <c r="E37" i="7"/>
  <c r="E33" i="7" s="1"/>
  <c r="E58" i="7"/>
  <c r="E174" i="7"/>
  <c r="E170" i="7" s="1"/>
  <c r="E186" i="7"/>
  <c r="E182" i="7" s="1"/>
  <c r="E331" i="7"/>
  <c r="I84" i="16"/>
  <c r="K21" i="7" l="1"/>
  <c r="L21" i="7"/>
  <c r="K17" i="7"/>
  <c r="M21" i="7"/>
  <c r="O2" i="17"/>
  <c r="O58" i="17" s="1"/>
  <c r="P2" i="17"/>
  <c r="P58" i="17" s="1"/>
  <c r="I698" i="16"/>
  <c r="I697" i="16" s="1"/>
  <c r="I696" i="16" s="1"/>
  <c r="I694" i="16" s="1"/>
  <c r="I692" i="16" s="1"/>
  <c r="I691" i="16" s="1"/>
  <c r="I687" i="16"/>
  <c r="I686" i="16" s="1"/>
  <c r="I685" i="16" s="1"/>
  <c r="I683" i="16" s="1"/>
  <c r="I681" i="16" s="1"/>
  <c r="I677" i="16"/>
  <c r="I676" i="16" s="1"/>
  <c r="I675" i="16" s="1"/>
  <c r="I673" i="16" s="1"/>
  <c r="I671" i="16" s="1"/>
  <c r="I662" i="16"/>
  <c r="I664" i="16"/>
  <c r="I667" i="16"/>
  <c r="I666" i="16" s="1"/>
  <c r="I652" i="16"/>
  <c r="I651" i="16" s="1"/>
  <c r="I650" i="16" s="1"/>
  <c r="I648" i="16" s="1"/>
  <c r="I644" i="16"/>
  <c r="I643" i="16" s="1"/>
  <c r="I624" i="16"/>
  <c r="I623" i="16" s="1"/>
  <c r="I622" i="16" s="1"/>
  <c r="I620" i="16" s="1"/>
  <c r="I618" i="16" s="1"/>
  <c r="I615" i="16"/>
  <c r="I614" i="16" s="1"/>
  <c r="I613" i="16" s="1"/>
  <c r="I611" i="16" s="1"/>
  <c r="I609" i="16" s="1"/>
  <c r="I606" i="16"/>
  <c r="I605" i="16" s="1"/>
  <c r="I604" i="16" s="1"/>
  <c r="I602" i="16" s="1"/>
  <c r="I600" i="16" s="1"/>
  <c r="I595" i="16"/>
  <c r="I594" i="16" s="1"/>
  <c r="I593" i="16" s="1"/>
  <c r="I591" i="16" s="1"/>
  <c r="I589" i="16" s="1"/>
  <c r="I584" i="16"/>
  <c r="I583" i="16" s="1"/>
  <c r="I582" i="16" s="1"/>
  <c r="I580" i="16" s="1"/>
  <c r="I578" i="16" s="1"/>
  <c r="I586" i="16"/>
  <c r="I574" i="16"/>
  <c r="I573" i="16" s="1"/>
  <c r="I572" i="16" s="1"/>
  <c r="I570" i="16" s="1"/>
  <c r="I568" i="16" s="1"/>
  <c r="I565" i="16"/>
  <c r="I564" i="16" s="1"/>
  <c r="I563" i="16" s="1"/>
  <c r="I561" i="16" s="1"/>
  <c r="I557" i="16"/>
  <c r="I556" i="16" s="1"/>
  <c r="I555" i="16" s="1"/>
  <c r="I553" i="16" s="1"/>
  <c r="I545" i="16"/>
  <c r="I548" i="16"/>
  <c r="I547" i="16" s="1"/>
  <c r="I497" i="16"/>
  <c r="I496" i="16" s="1"/>
  <c r="I499" i="16"/>
  <c r="I501" i="16"/>
  <c r="I504" i="16"/>
  <c r="I516" i="16"/>
  <c r="I524" i="16"/>
  <c r="I531" i="16"/>
  <c r="I530" i="16" s="1"/>
  <c r="I537" i="16"/>
  <c r="I536" i="16" s="1"/>
  <c r="I535" i="16" s="1"/>
  <c r="I477" i="16"/>
  <c r="I476" i="16" s="1"/>
  <c r="I475" i="16" s="1"/>
  <c r="I481" i="16"/>
  <c r="I483" i="16"/>
  <c r="I486" i="16"/>
  <c r="I485" i="16" s="1"/>
  <c r="I459" i="16"/>
  <c r="I458" i="16" s="1"/>
  <c r="I454" i="16" s="1"/>
  <c r="I448" i="16"/>
  <c r="I450" i="16"/>
  <c r="I447" i="16" s="1"/>
  <c r="I446" i="16" s="1"/>
  <c r="I444" i="16" s="1"/>
  <c r="I436" i="16"/>
  <c r="I435" i="16" s="1"/>
  <c r="I434" i="16" s="1"/>
  <c r="I440" i="16"/>
  <c r="I439" i="16" s="1"/>
  <c r="I438" i="16" s="1"/>
  <c r="I427" i="16"/>
  <c r="I426" i="16" s="1"/>
  <c r="I425" i="16" s="1"/>
  <c r="I423" i="16" s="1"/>
  <c r="I411" i="16"/>
  <c r="I410" i="16" s="1"/>
  <c r="I418" i="16"/>
  <c r="I417" i="16" s="1"/>
  <c r="I386" i="16"/>
  <c r="I388" i="16"/>
  <c r="I362" i="16"/>
  <c r="I361" i="16" s="1"/>
  <c r="I360" i="16" s="1"/>
  <c r="I358" i="16" s="1"/>
  <c r="I355" i="16" s="1"/>
  <c r="I351" i="16"/>
  <c r="I350" i="16" s="1"/>
  <c r="I349" i="16" s="1"/>
  <c r="I347" i="16" s="1"/>
  <c r="I343" i="16"/>
  <c r="I342" i="16" s="1"/>
  <c r="I341" i="16" s="1"/>
  <c r="I339" i="16" s="1"/>
  <c r="I335" i="16"/>
  <c r="I334" i="16" s="1"/>
  <c r="I333" i="16" s="1"/>
  <c r="I331" i="16" s="1"/>
  <c r="I327" i="16"/>
  <c r="I326" i="16" s="1"/>
  <c r="I325" i="16" s="1"/>
  <c r="I323" i="16" s="1"/>
  <c r="I319" i="16"/>
  <c r="I318" i="16" s="1"/>
  <c r="I317" i="16" s="1"/>
  <c r="I315" i="16" s="1"/>
  <c r="I312" i="16"/>
  <c r="I311" i="16" s="1"/>
  <c r="I310" i="16" s="1"/>
  <c r="I308" i="16" s="1"/>
  <c r="I305" i="16"/>
  <c r="I304" i="16" s="1"/>
  <c r="I303" i="16" s="1"/>
  <c r="I301" i="16" s="1"/>
  <c r="I296" i="16"/>
  <c r="I295" i="16" s="1"/>
  <c r="I294" i="16" s="1"/>
  <c r="I292" i="16" s="1"/>
  <c r="I283" i="16"/>
  <c r="I285" i="16"/>
  <c r="I273" i="16"/>
  <c r="I275" i="16"/>
  <c r="I262" i="16"/>
  <c r="I261" i="16" s="1"/>
  <c r="I260" i="16" s="1"/>
  <c r="I258" i="16" s="1"/>
  <c r="I264" i="16"/>
  <c r="I254" i="16"/>
  <c r="I237" i="16"/>
  <c r="I229" i="16"/>
  <c r="I228" i="16" s="1"/>
  <c r="I227" i="16" s="1"/>
  <c r="I225" i="16" s="1"/>
  <c r="I209" i="16"/>
  <c r="I208" i="16" s="1"/>
  <c r="I207" i="16" s="1"/>
  <c r="I205" i="16" s="1"/>
  <c r="I203" i="16" s="1"/>
  <c r="I197" i="16"/>
  <c r="I196" i="16" s="1"/>
  <c r="I181" i="16"/>
  <c r="I183" i="16"/>
  <c r="I186" i="16"/>
  <c r="I185" i="16" s="1"/>
  <c r="I172" i="16"/>
  <c r="I171" i="16" s="1"/>
  <c r="I170" i="16" s="1"/>
  <c r="I168" i="16" s="1"/>
  <c r="I166" i="16" s="1"/>
  <c r="I163" i="16"/>
  <c r="I152" i="16"/>
  <c r="I151" i="16" s="1"/>
  <c r="I150" i="16" s="1"/>
  <c r="I148" i="16" s="1"/>
  <c r="I144" i="16"/>
  <c r="I143" i="16" s="1"/>
  <c r="I142" i="16" s="1"/>
  <c r="I140" i="16" s="1"/>
  <c r="I81" i="16"/>
  <c r="I58" i="16"/>
  <c r="I50" i="16"/>
  <c r="I49" i="16" s="1"/>
  <c r="I48" i="16" s="1"/>
  <c r="I46" i="16" s="1"/>
  <c r="I43" i="16"/>
  <c r="I42" i="16" s="1"/>
  <c r="I41" i="16" s="1"/>
  <c r="I39" i="16" s="1"/>
  <c r="I30" i="16"/>
  <c r="I29" i="16" s="1"/>
  <c r="I34" i="16"/>
  <c r="I33" i="16" s="1"/>
  <c r="I12" i="16"/>
  <c r="I11" i="16" s="1"/>
  <c r="I14" i="16"/>
  <c r="I17" i="16"/>
  <c r="I19" i="16"/>
  <c r="I22" i="16"/>
  <c r="I21" i="16" s="1"/>
  <c r="D12" i="11"/>
  <c r="D11" i="11"/>
  <c r="I98" i="16"/>
  <c r="I253" i="16"/>
  <c r="I252" i="16" s="1"/>
  <c r="I245" i="16"/>
  <c r="I242" i="16" s="1"/>
  <c r="I161" i="16"/>
  <c r="I160" i="16" s="1"/>
  <c r="I107" i="16"/>
  <c r="I95" i="16"/>
  <c r="I94" i="16"/>
  <c r="I88" i="16" s="1"/>
  <c r="N41" i="17"/>
  <c r="N48" i="17"/>
  <c r="N51" i="17"/>
  <c r="N35" i="17"/>
  <c r="I640" i="16"/>
  <c r="I372" i="16"/>
  <c r="I371" i="16" s="1"/>
  <c r="I222" i="16"/>
  <c r="I221" i="16" s="1"/>
  <c r="I220" i="16" s="1"/>
  <c r="I219" i="16" s="1"/>
  <c r="I217" i="16" s="1"/>
  <c r="N62" i="17"/>
  <c r="N18" i="17"/>
  <c r="N11" i="17"/>
  <c r="N4" i="17"/>
  <c r="I127" i="16"/>
  <c r="I126" i="16" s="1"/>
  <c r="N12" i="17"/>
  <c r="N31" i="17" l="1"/>
  <c r="I432" i="16"/>
  <c r="K24" i="7"/>
  <c r="I282" i="16"/>
  <c r="I281" i="16" s="1"/>
  <c r="I279" i="16" s="1"/>
  <c r="I480" i="16"/>
  <c r="I409" i="16"/>
  <c r="I407" i="16" s="1"/>
  <c r="I405" i="16" s="1"/>
  <c r="I544" i="16"/>
  <c r="I542" i="16" s="1"/>
  <c r="I540" i="16" s="1"/>
  <c r="I599" i="16"/>
  <c r="I159" i="16"/>
  <c r="I158" i="16" s="1"/>
  <c r="I156" i="16" s="1"/>
  <c r="I289" i="16"/>
  <c r="I577" i="16"/>
  <c r="I251" i="16"/>
  <c r="I250" i="16" s="1"/>
  <c r="I248" i="16" s="1"/>
  <c r="I16" i="16"/>
  <c r="I28" i="16"/>
  <c r="I272" i="16"/>
  <c r="I271" i="16" s="1"/>
  <c r="I269" i="16" s="1"/>
  <c r="I479" i="16"/>
  <c r="I473" i="16" s="1"/>
  <c r="I471" i="16" s="1"/>
  <c r="I10" i="16"/>
  <c r="I180" i="16"/>
  <c r="I179" i="16" s="1"/>
  <c r="I177" i="16" s="1"/>
  <c r="I175" i="16" s="1"/>
  <c r="I236" i="16"/>
  <c r="I235" i="16" s="1"/>
  <c r="I233" i="16" s="1"/>
  <c r="I214" i="16" s="1"/>
  <c r="I385" i="16"/>
  <c r="I384" i="16" s="1"/>
  <c r="I382" i="16" s="1"/>
  <c r="I421" i="16"/>
  <c r="I8" i="16"/>
  <c r="I26" i="16"/>
  <c r="I106" i="16"/>
  <c r="I6" i="16" l="1"/>
  <c r="N13" i="17"/>
  <c r="Q117" i="16"/>
  <c r="N78" i="16" l="1"/>
  <c r="L13" i="16"/>
  <c r="L15" i="16" s="1"/>
  <c r="P78" i="16"/>
  <c r="M78" i="16"/>
  <c r="Q78" i="16" l="1"/>
  <c r="O78" i="16"/>
  <c r="L78" i="16"/>
  <c r="O546" i="16"/>
  <c r="N21" i="16"/>
  <c r="L31" i="16"/>
  <c r="L32" i="16"/>
  <c r="I78" i="16" l="1"/>
  <c r="M61" i="16"/>
  <c r="Q61" i="16"/>
  <c r="O61" i="16"/>
  <c r="I63" i="16"/>
  <c r="I65" i="16"/>
  <c r="I64" i="16" s="1"/>
  <c r="I80" i="16"/>
  <c r="I79" i="16" s="1"/>
  <c r="Q80" i="16"/>
  <c r="Q86" i="16"/>
  <c r="Q100" i="16"/>
  <c r="O100" i="16"/>
  <c r="M100" i="16"/>
  <c r="L103" i="16"/>
  <c r="I103" i="16"/>
  <c r="O107" i="16"/>
  <c r="M107" i="16"/>
  <c r="I109" i="16"/>
  <c r="M109" i="16"/>
  <c r="L113" i="16"/>
  <c r="U117" i="16"/>
  <c r="S117" i="16"/>
  <c r="O117" i="16"/>
  <c r="M117" i="16"/>
  <c r="L119" i="16"/>
  <c r="L120" i="16"/>
  <c r="L124" i="16"/>
  <c r="Q130" i="16"/>
  <c r="O130" i="16"/>
  <c r="M130" i="16"/>
  <c r="L131" i="16"/>
  <c r="I135" i="16"/>
  <c r="I134" i="16" s="1"/>
  <c r="I133" i="16" s="1"/>
  <c r="O135" i="16"/>
  <c r="M135" i="16"/>
  <c r="I201" i="16"/>
  <c r="I200" i="16" s="1"/>
  <c r="I199" i="16" s="1"/>
  <c r="I375" i="16"/>
  <c r="I374" i="16" s="1"/>
  <c r="I370" i="16" s="1"/>
  <c r="I378" i="16"/>
  <c r="I377" i="16" s="1"/>
  <c r="I376" i="16" s="1"/>
  <c r="L389" i="16"/>
  <c r="L413" i="16"/>
  <c r="M410" i="16"/>
  <c r="M409" i="16"/>
  <c r="I510" i="16"/>
  <c r="I509" i="16" s="1"/>
  <c r="I503" i="16" s="1"/>
  <c r="I495" i="16" s="1"/>
  <c r="I492" i="16" s="1"/>
  <c r="I490" i="16" s="1"/>
  <c r="I489" i="16" s="1"/>
  <c r="M558" i="16"/>
  <c r="I637" i="16"/>
  <c r="I634" i="16" s="1"/>
  <c r="I633" i="16" s="1"/>
  <c r="I632" i="16" s="1"/>
  <c r="I630" i="16" s="1"/>
  <c r="M646" i="16"/>
  <c r="O697" i="16"/>
  <c r="K253" i="16"/>
  <c r="K248" i="16" s="1"/>
  <c r="K263" i="16"/>
  <c r="K258" i="16" s="1"/>
  <c r="K269" i="16"/>
  <c r="K292" i="16"/>
  <c r="K323" i="16"/>
  <c r="K339" i="16"/>
  <c r="K347" i="16"/>
  <c r="K454" i="16"/>
  <c r="K553" i="16"/>
  <c r="K591" i="16"/>
  <c r="K699" i="16"/>
  <c r="K694" i="16" s="1"/>
  <c r="K444" i="16"/>
  <c r="K239" i="16"/>
  <c r="K245" i="16"/>
  <c r="K240" i="16"/>
  <c r="K225" i="16"/>
  <c r="K661" i="16"/>
  <c r="K656" i="16" s="1"/>
  <c r="K630" i="16"/>
  <c r="K673" i="16"/>
  <c r="K620" i="16"/>
  <c r="K611" i="16"/>
  <c r="K607" i="16"/>
  <c r="K602" i="16" s="1"/>
  <c r="K580" i="16"/>
  <c r="K570" i="16"/>
  <c r="K545" i="16"/>
  <c r="K549" i="16"/>
  <c r="K463" i="16"/>
  <c r="K484" i="16"/>
  <c r="K473" i="16" s="1"/>
  <c r="K437" i="16"/>
  <c r="K432" i="16" s="1"/>
  <c r="K415" i="16"/>
  <c r="K407" i="16" s="1"/>
  <c r="K393" i="16"/>
  <c r="K382" i="16"/>
  <c r="K367" i="16"/>
  <c r="K358" i="16"/>
  <c r="K301" i="16"/>
  <c r="K279" i="16"/>
  <c r="K222" i="16"/>
  <c r="K217" i="16" s="1"/>
  <c r="K198" i="16"/>
  <c r="K193" i="16" s="1"/>
  <c r="K182" i="16"/>
  <c r="K177" i="16" s="1"/>
  <c r="K162" i="16"/>
  <c r="K161" i="16"/>
  <c r="K140" i="16"/>
  <c r="K137" i="16"/>
  <c r="K135" i="16"/>
  <c r="K127" i="16"/>
  <c r="K109" i="16"/>
  <c r="K104" i="16"/>
  <c r="K96" i="16"/>
  <c r="K89" i="16"/>
  <c r="K78" i="16"/>
  <c r="K36" i="16"/>
  <c r="K31" i="16"/>
  <c r="K20" i="16"/>
  <c r="K13" i="16"/>
  <c r="I369" i="16" l="1"/>
  <c r="I367" i="16" s="1"/>
  <c r="I365" i="16" s="1"/>
  <c r="I213" i="16" s="1"/>
  <c r="I195" i="16"/>
  <c r="I193" i="16" s="1"/>
  <c r="I190" i="16" s="1"/>
  <c r="I189" i="16" s="1"/>
  <c r="L82" i="16"/>
  <c r="I77" i="16"/>
  <c r="I76" i="16" s="1"/>
  <c r="K542" i="16"/>
  <c r="K26" i="16"/>
  <c r="I100" i="16"/>
  <c r="I99" i="16" s="1"/>
  <c r="I83" i="16" s="1"/>
  <c r="I61" i="16"/>
  <c r="I60" i="16" s="1"/>
  <c r="K156" i="16"/>
  <c r="K8" i="16"/>
  <c r="K73" i="16"/>
  <c r="K233" i="16"/>
  <c r="H19" i="16"/>
  <c r="I75" i="16" l="1"/>
  <c r="I73" i="16" s="1"/>
  <c r="I57" i="16"/>
  <c r="I56" i="16" s="1"/>
  <c r="I54" i="16" s="1"/>
  <c r="I53" i="16" s="1"/>
  <c r="K3" i="16"/>
  <c r="I661" i="16"/>
  <c r="I660" i="16" s="1"/>
  <c r="I659" i="16" s="1"/>
  <c r="I658" i="16" s="1"/>
  <c r="I656" i="16" s="1"/>
  <c r="I628" i="16" s="1"/>
  <c r="I627" i="16" s="1"/>
  <c r="N665" i="16"/>
  <c r="Y27" i="17"/>
  <c r="W27" i="17"/>
  <c r="L661" i="16"/>
  <c r="L665" i="16" s="1"/>
  <c r="L187" i="16"/>
  <c r="L182" i="16"/>
  <c r="L184" i="16" s="1"/>
  <c r="G699" i="16"/>
  <c r="G698" i="16" s="1"/>
  <c r="G697" i="16" s="1"/>
  <c r="H698" i="16"/>
  <c r="H697" i="16" s="1"/>
  <c r="H696" i="16" s="1"/>
  <c r="H694" i="16" s="1"/>
  <c r="H692" i="16" s="1"/>
  <c r="H691" i="16" s="1"/>
  <c r="F698" i="16"/>
  <c r="F697" i="16" s="1"/>
  <c r="L689" i="16"/>
  <c r="G689" i="16"/>
  <c r="G688" i="16"/>
  <c r="H687" i="16"/>
  <c r="H686" i="16" s="1"/>
  <c r="H685" i="16" s="1"/>
  <c r="H683" i="16" s="1"/>
  <c r="H681" i="16" s="1"/>
  <c r="F687" i="16"/>
  <c r="F686" i="16" s="1"/>
  <c r="F683" i="16" s="1"/>
  <c r="G679" i="16"/>
  <c r="L678" i="16"/>
  <c r="G678" i="16"/>
  <c r="H677" i="16"/>
  <c r="H676" i="16" s="1"/>
  <c r="H675" i="16" s="1"/>
  <c r="H673" i="16" s="1"/>
  <c r="H671" i="16" s="1"/>
  <c r="F677" i="16"/>
  <c r="F676" i="16" s="1"/>
  <c r="F673" i="16" s="1"/>
  <c r="L668" i="16"/>
  <c r="G668" i="16"/>
  <c r="G667" i="16" s="1"/>
  <c r="G666" i="16" s="1"/>
  <c r="H667" i="16"/>
  <c r="H666" i="16" s="1"/>
  <c r="G665" i="16"/>
  <c r="G664" i="16" s="1"/>
  <c r="H664" i="16"/>
  <c r="L663" i="16"/>
  <c r="H663" i="16"/>
  <c r="H662" i="16" s="1"/>
  <c r="N662" i="16"/>
  <c r="H661" i="16"/>
  <c r="G661" i="16"/>
  <c r="G660" i="16" s="1"/>
  <c r="F661" i="16"/>
  <c r="F658" i="16" s="1"/>
  <c r="F656" i="16" s="1"/>
  <c r="G653" i="16"/>
  <c r="G652" i="16" s="1"/>
  <c r="G651" i="16" s="1"/>
  <c r="H652" i="16"/>
  <c r="H651" i="16" s="1"/>
  <c r="H650" i="16" s="1"/>
  <c r="H648" i="16" s="1"/>
  <c r="F652" i="16"/>
  <c r="F651" i="16" s="1"/>
  <c r="F648" i="16" s="1"/>
  <c r="G645" i="16"/>
  <c r="G644" i="16" s="1"/>
  <c r="H644" i="16"/>
  <c r="H643" i="16" s="1"/>
  <c r="F644" i="16"/>
  <c r="F643" i="16"/>
  <c r="G642" i="16"/>
  <c r="G641" i="16"/>
  <c r="G640" i="16"/>
  <c r="G639" i="16"/>
  <c r="G638" i="16"/>
  <c r="G636" i="16"/>
  <c r="G635" i="16"/>
  <c r="H634" i="16"/>
  <c r="H633" i="16" s="1"/>
  <c r="F634" i="16"/>
  <c r="H624" i="16"/>
  <c r="H623" i="16" s="1"/>
  <c r="H622" i="16" s="1"/>
  <c r="H620" i="16" s="1"/>
  <c r="H618" i="16" s="1"/>
  <c r="G624" i="16"/>
  <c r="G623" i="16" s="1"/>
  <c r="G622" i="16" s="1"/>
  <c r="G620" i="16" s="1"/>
  <c r="G618" i="16" s="1"/>
  <c r="F623" i="16"/>
  <c r="F622" i="16" s="1"/>
  <c r="G616" i="16"/>
  <c r="H615" i="16"/>
  <c r="H614" i="16" s="1"/>
  <c r="H613" i="16" s="1"/>
  <c r="H611" i="16" s="1"/>
  <c r="H609" i="16" s="1"/>
  <c r="G615" i="16"/>
  <c r="F614" i="16"/>
  <c r="F611" i="16" s="1"/>
  <c r="G607" i="16"/>
  <c r="G606" i="16" s="1"/>
  <c r="H606" i="16"/>
  <c r="H605" i="16" s="1"/>
  <c r="H604" i="16" s="1"/>
  <c r="H602" i="16" s="1"/>
  <c r="H600" i="16" s="1"/>
  <c r="F605" i="16"/>
  <c r="F604" i="16" s="1"/>
  <c r="F602" i="16" s="1"/>
  <c r="F600" i="16" s="1"/>
  <c r="G597" i="16"/>
  <c r="G596" i="16"/>
  <c r="H595" i="16"/>
  <c r="H594" i="16" s="1"/>
  <c r="H593" i="16" s="1"/>
  <c r="H591" i="16" s="1"/>
  <c r="H589" i="16" s="1"/>
  <c r="F595" i="16"/>
  <c r="F594" i="16"/>
  <c r="F589" i="16" s="1"/>
  <c r="G587" i="16"/>
  <c r="G586" i="16" s="1"/>
  <c r="H586" i="16"/>
  <c r="F586" i="16"/>
  <c r="G585" i="16"/>
  <c r="G584" i="16" s="1"/>
  <c r="H584" i="16"/>
  <c r="H583" i="16" s="1"/>
  <c r="F584" i="16"/>
  <c r="F583" i="16"/>
  <c r="F582" i="16" s="1"/>
  <c r="F578" i="16" s="1"/>
  <c r="H575" i="16"/>
  <c r="H574" i="16" s="1"/>
  <c r="H573" i="16" s="1"/>
  <c r="H572" i="16" s="1"/>
  <c r="H570" i="16" s="1"/>
  <c r="H568" i="16" s="1"/>
  <c r="G575" i="16"/>
  <c r="G574" i="16" s="1"/>
  <c r="G573" i="16" s="1"/>
  <c r="G572" i="16" s="1"/>
  <c r="F574" i="16"/>
  <c r="F570" i="16" s="1"/>
  <c r="F568" i="16" s="1"/>
  <c r="G566" i="16"/>
  <c r="G565" i="16" s="1"/>
  <c r="G564" i="16" s="1"/>
  <c r="H565" i="16"/>
  <c r="H564" i="16" s="1"/>
  <c r="H563" i="16" s="1"/>
  <c r="H561" i="16" s="1"/>
  <c r="F565" i="16"/>
  <c r="F564" i="16" s="1"/>
  <c r="F561" i="16" s="1"/>
  <c r="H557" i="16"/>
  <c r="H556" i="16" s="1"/>
  <c r="H555" i="16" s="1"/>
  <c r="H553" i="16" s="1"/>
  <c r="G549" i="16"/>
  <c r="G548" i="16" s="1"/>
  <c r="G547" i="16" s="1"/>
  <c r="H548" i="16"/>
  <c r="H547" i="16" s="1"/>
  <c r="H544" i="16" s="1"/>
  <c r="H542" i="16" s="1"/>
  <c r="F548" i="16"/>
  <c r="F547" i="16" s="1"/>
  <c r="F542" i="16" s="1"/>
  <c r="F540" i="16" s="1"/>
  <c r="G538" i="16"/>
  <c r="G537" i="16" s="1"/>
  <c r="G536" i="16" s="1"/>
  <c r="G535" i="16" s="1"/>
  <c r="F538" i="16"/>
  <c r="F537" i="16" s="1"/>
  <c r="F536" i="16" s="1"/>
  <c r="F535" i="16" s="1"/>
  <c r="H537" i="16"/>
  <c r="H536" i="16" s="1"/>
  <c r="H535" i="16" s="1"/>
  <c r="G534" i="16"/>
  <c r="F534" i="16"/>
  <c r="F531" i="16" s="1"/>
  <c r="F530" i="16" s="1"/>
  <c r="G533" i="16"/>
  <c r="G532" i="16"/>
  <c r="H531" i="16"/>
  <c r="H530" i="16" s="1"/>
  <c r="G529" i="16"/>
  <c r="G528" i="16"/>
  <c r="G527" i="16"/>
  <c r="G526" i="16"/>
  <c r="G525" i="16"/>
  <c r="H524" i="16"/>
  <c r="F524" i="16"/>
  <c r="G523" i="16"/>
  <c r="G522" i="16"/>
  <c r="G521" i="16"/>
  <c r="G520" i="16"/>
  <c r="G519" i="16"/>
  <c r="G518" i="16"/>
  <c r="G517" i="16"/>
  <c r="F517" i="16"/>
  <c r="F516" i="16" s="1"/>
  <c r="H516" i="16"/>
  <c r="G515" i="16"/>
  <c r="G514" i="16"/>
  <c r="G513" i="16"/>
  <c r="G512" i="16"/>
  <c r="F512" i="16"/>
  <c r="F509" i="16" s="1"/>
  <c r="G511" i="16"/>
  <c r="G510" i="16"/>
  <c r="H509" i="16"/>
  <c r="G508" i="16"/>
  <c r="G507" i="16"/>
  <c r="G506" i="16"/>
  <c r="G505" i="16"/>
  <c r="F505" i="16"/>
  <c r="F504" i="16" s="1"/>
  <c r="H504" i="16"/>
  <c r="G502" i="16"/>
  <c r="G501" i="16" s="1"/>
  <c r="H501" i="16"/>
  <c r="F501" i="16"/>
  <c r="G500" i="16"/>
  <c r="G499" i="16" s="1"/>
  <c r="H499" i="16"/>
  <c r="F499" i="16"/>
  <c r="G498" i="16"/>
  <c r="G497" i="16" s="1"/>
  <c r="H497" i="16"/>
  <c r="F497" i="16"/>
  <c r="H486" i="16"/>
  <c r="H485" i="16" s="1"/>
  <c r="H483" i="16"/>
  <c r="H481" i="16"/>
  <c r="G478" i="16"/>
  <c r="G477" i="16" s="1"/>
  <c r="G476" i="16" s="1"/>
  <c r="H477" i="16"/>
  <c r="H476" i="16" s="1"/>
  <c r="H475" i="16" s="1"/>
  <c r="F477" i="16"/>
  <c r="F476" i="16" s="1"/>
  <c r="F473" i="16" s="1"/>
  <c r="F471" i="16" s="1"/>
  <c r="H469" i="16"/>
  <c r="H468" i="16" s="1"/>
  <c r="H467" i="16" s="1"/>
  <c r="H462" i="16" s="1"/>
  <c r="G468" i="16"/>
  <c r="G467" i="16" s="1"/>
  <c r="G462" i="16" s="1"/>
  <c r="F468" i="16"/>
  <c r="F467" i="16" s="1"/>
  <c r="F463" i="16" s="1"/>
  <c r="H460" i="16"/>
  <c r="H459" i="16" s="1"/>
  <c r="H458" i="16" s="1"/>
  <c r="H453" i="16" s="1"/>
  <c r="G459" i="16"/>
  <c r="G458" i="16" s="1"/>
  <c r="G453" i="16" s="1"/>
  <c r="F459" i="16"/>
  <c r="F458" i="16" s="1"/>
  <c r="F454" i="16" s="1"/>
  <c r="H450" i="16"/>
  <c r="H448" i="16"/>
  <c r="G441" i="16"/>
  <c r="G440" i="16" s="1"/>
  <c r="G439" i="16" s="1"/>
  <c r="G438" i="16" s="1"/>
  <c r="H440" i="16"/>
  <c r="H439" i="16" s="1"/>
  <c r="H438" i="16" s="1"/>
  <c r="G437" i="16"/>
  <c r="G436" i="16" s="1"/>
  <c r="G435" i="16" s="1"/>
  <c r="H436" i="16"/>
  <c r="H435" i="16" s="1"/>
  <c r="H434" i="16" s="1"/>
  <c r="F436" i="16"/>
  <c r="F435" i="16" s="1"/>
  <c r="F431" i="16" s="1"/>
  <c r="F421" i="16" s="1"/>
  <c r="G428" i="16"/>
  <c r="G427" i="16" s="1"/>
  <c r="G426" i="16" s="1"/>
  <c r="G425" i="16" s="1"/>
  <c r="G423" i="16" s="1"/>
  <c r="H427" i="16"/>
  <c r="H426" i="16" s="1"/>
  <c r="H425" i="16" s="1"/>
  <c r="H423" i="16" s="1"/>
  <c r="H418" i="16"/>
  <c r="H417" i="16" s="1"/>
  <c r="G418" i="16"/>
  <c r="G417" i="16" s="1"/>
  <c r="F415" i="16"/>
  <c r="F411" i="16" s="1"/>
  <c r="G414" i="16"/>
  <c r="H413" i="16"/>
  <c r="H411" i="16" s="1"/>
  <c r="H410" i="16" s="1"/>
  <c r="G413" i="16"/>
  <c r="G412" i="16"/>
  <c r="H401" i="16"/>
  <c r="H400" i="16" s="1"/>
  <c r="H399" i="16" s="1"/>
  <c r="G401" i="16"/>
  <c r="G400" i="16" s="1"/>
  <c r="G399" i="16" s="1"/>
  <c r="F401" i="16"/>
  <c r="F393" i="16" s="1"/>
  <c r="H397" i="16"/>
  <c r="H396" i="16" s="1"/>
  <c r="H395" i="16" s="1"/>
  <c r="G389" i="16"/>
  <c r="G388" i="16" s="1"/>
  <c r="G385" i="16" s="1"/>
  <c r="G384" i="16" s="1"/>
  <c r="G381" i="16" s="1"/>
  <c r="F389" i="16"/>
  <c r="F388" i="16" s="1"/>
  <c r="F385" i="16" s="1"/>
  <c r="F381" i="16" s="1"/>
  <c r="H388" i="16"/>
  <c r="H386" i="16"/>
  <c r="H378" i="16"/>
  <c r="H377" i="16" s="1"/>
  <c r="H376" i="16" s="1"/>
  <c r="G378" i="16"/>
  <c r="G377" i="16" s="1"/>
  <c r="G376" i="16" s="1"/>
  <c r="F377" i="16"/>
  <c r="F376" i="16" s="1"/>
  <c r="H375" i="16"/>
  <c r="H374" i="16" s="1"/>
  <c r="G374" i="16"/>
  <c r="G373" i="16"/>
  <c r="G372" i="16"/>
  <c r="H371" i="16"/>
  <c r="F371" i="16"/>
  <c r="F370" i="16" s="1"/>
  <c r="G363" i="16"/>
  <c r="G362" i="16" s="1"/>
  <c r="G361" i="16" s="1"/>
  <c r="G357" i="16" s="1"/>
  <c r="G354" i="16" s="1"/>
  <c r="H362" i="16"/>
  <c r="H361" i="16" s="1"/>
  <c r="H360" i="16" s="1"/>
  <c r="H357" i="16" s="1"/>
  <c r="H354" i="16" s="1"/>
  <c r="F362" i="16"/>
  <c r="F361" i="16" s="1"/>
  <c r="F358" i="16" s="1"/>
  <c r="F354" i="16" s="1"/>
  <c r="H352" i="16"/>
  <c r="H351" i="16" s="1"/>
  <c r="H350" i="16" s="1"/>
  <c r="H349" i="16" s="1"/>
  <c r="H347" i="16" s="1"/>
  <c r="F351" i="16"/>
  <c r="F350" i="16" s="1"/>
  <c r="H343" i="16"/>
  <c r="H342" i="16" s="1"/>
  <c r="H341" i="16" s="1"/>
  <c r="H339" i="16" s="1"/>
  <c r="F343" i="16"/>
  <c r="F342" i="16" s="1"/>
  <c r="H336" i="16"/>
  <c r="H335" i="16" s="1"/>
  <c r="H334" i="16" s="1"/>
  <c r="H333" i="16" s="1"/>
  <c r="H331" i="16" s="1"/>
  <c r="F335" i="16"/>
  <c r="F334" i="16" s="1"/>
  <c r="H327" i="16"/>
  <c r="H326" i="16" s="1"/>
  <c r="H325" i="16" s="1"/>
  <c r="H323" i="16" s="1"/>
  <c r="F327" i="16"/>
  <c r="F326" i="16" s="1"/>
  <c r="G306" i="16"/>
  <c r="G305" i="16" s="1"/>
  <c r="G304" i="16" s="1"/>
  <c r="G300" i="16" s="1"/>
  <c r="H305" i="16"/>
  <c r="H304" i="16" s="1"/>
  <c r="H303" i="16" s="1"/>
  <c r="H300" i="16" s="1"/>
  <c r="F305" i="16"/>
  <c r="F304" i="16" s="1"/>
  <c r="F301" i="16" s="1"/>
  <c r="F289" i="16" s="1"/>
  <c r="H296" i="16"/>
  <c r="H295" i="16" s="1"/>
  <c r="H294" i="16" s="1"/>
  <c r="H292" i="16" s="1"/>
  <c r="G296" i="16"/>
  <c r="G295" i="16" s="1"/>
  <c r="G286" i="16"/>
  <c r="G285" i="16" s="1"/>
  <c r="H285" i="16"/>
  <c r="F285" i="16"/>
  <c r="H284" i="16"/>
  <c r="H283" i="16" s="1"/>
  <c r="G284" i="16"/>
  <c r="G283" i="16" s="1"/>
  <c r="F283" i="16"/>
  <c r="G276" i="16"/>
  <c r="G275" i="16" s="1"/>
  <c r="H275" i="16"/>
  <c r="H273" i="16"/>
  <c r="F272" i="16"/>
  <c r="F269" i="16"/>
  <c r="H266" i="16"/>
  <c r="H264" i="16" s="1"/>
  <c r="G266" i="16"/>
  <c r="G265" i="16"/>
  <c r="G263" i="16"/>
  <c r="G262" i="16" s="1"/>
  <c r="H262" i="16"/>
  <c r="F261" i="16"/>
  <c r="F258" i="16" s="1"/>
  <c r="H254" i="16"/>
  <c r="H252" i="16"/>
  <c r="H245" i="16"/>
  <c r="H242" i="16" s="1"/>
  <c r="H237" i="16"/>
  <c r="H229" i="16"/>
  <c r="H228" i="16" s="1"/>
  <c r="H227" i="16" s="1"/>
  <c r="H225" i="16" s="1"/>
  <c r="H222" i="16"/>
  <c r="H221" i="16" s="1"/>
  <c r="H220" i="16" s="1"/>
  <c r="H219" i="16" s="1"/>
  <c r="H216" i="16" s="1"/>
  <c r="G222" i="16"/>
  <c r="G221" i="16" s="1"/>
  <c r="G220" i="16" s="1"/>
  <c r="G216" i="16" s="1"/>
  <c r="F222" i="16"/>
  <c r="F221" i="16" s="1"/>
  <c r="F220" i="16" s="1"/>
  <c r="F217" i="16" s="1"/>
  <c r="G210" i="16"/>
  <c r="G209" i="16" s="1"/>
  <c r="G208" i="16" s="1"/>
  <c r="G207" i="16" s="1"/>
  <c r="G205" i="16" s="1"/>
  <c r="G203" i="16" s="1"/>
  <c r="H209" i="16"/>
  <c r="H208" i="16" s="1"/>
  <c r="H207" i="16" s="1"/>
  <c r="H205" i="16" s="1"/>
  <c r="H203" i="16" s="1"/>
  <c r="F209" i="16"/>
  <c r="F208" i="16" s="1"/>
  <c r="F207" i="16" s="1"/>
  <c r="F205" i="16" s="1"/>
  <c r="F203" i="16" s="1"/>
  <c r="H201" i="16"/>
  <c r="H200" i="16" s="1"/>
  <c r="H199" i="16" s="1"/>
  <c r="G200" i="16"/>
  <c r="G199" i="16" s="1"/>
  <c r="F200" i="16"/>
  <c r="F199" i="16" s="1"/>
  <c r="G198" i="16"/>
  <c r="G197" i="16" s="1"/>
  <c r="G196" i="16" s="1"/>
  <c r="F198" i="16"/>
  <c r="F197" i="16" s="1"/>
  <c r="F196" i="16" s="1"/>
  <c r="H197" i="16"/>
  <c r="H196" i="16" s="1"/>
  <c r="H187" i="16"/>
  <c r="H186" i="16" s="1"/>
  <c r="H185" i="16" s="1"/>
  <c r="G184" i="16"/>
  <c r="G183" i="16" s="1"/>
  <c r="H183" i="16"/>
  <c r="F183" i="16"/>
  <c r="H182" i="16"/>
  <c r="H181" i="16" s="1"/>
  <c r="G182" i="16"/>
  <c r="G181" i="16" s="1"/>
  <c r="G180" i="16" s="1"/>
  <c r="G179" i="16" s="1"/>
  <c r="G177" i="16" s="1"/>
  <c r="G175" i="16" s="1"/>
  <c r="F181" i="16"/>
  <c r="F175" i="16"/>
  <c r="G173" i="16"/>
  <c r="G172" i="16" s="1"/>
  <c r="H172" i="16"/>
  <c r="H171" i="16" s="1"/>
  <c r="F171" i="16"/>
  <c r="F168" i="16" s="1"/>
  <c r="H164" i="16"/>
  <c r="H163" i="16" s="1"/>
  <c r="G163" i="16"/>
  <c r="F163" i="16"/>
  <c r="G161" i="16"/>
  <c r="G160" i="16" s="1"/>
  <c r="F161" i="16"/>
  <c r="F160" i="16" s="1"/>
  <c r="H160" i="16"/>
  <c r="G153" i="16"/>
  <c r="G152" i="16" s="1"/>
  <c r="G151" i="16" s="1"/>
  <c r="G150" i="16" s="1"/>
  <c r="G148" i="16" s="1"/>
  <c r="H152" i="16"/>
  <c r="H151" i="16" s="1"/>
  <c r="H150" i="16" s="1"/>
  <c r="H148" i="16" s="1"/>
  <c r="F152" i="16"/>
  <c r="F151" i="16" s="1"/>
  <c r="F150" i="16" s="1"/>
  <c r="F148" i="16" s="1"/>
  <c r="H145" i="16"/>
  <c r="H144" i="16" s="1"/>
  <c r="H143" i="16" s="1"/>
  <c r="G145" i="16"/>
  <c r="G144" i="16" s="1"/>
  <c r="G143" i="16" s="1"/>
  <c r="G142" i="16" s="1"/>
  <c r="G140" i="16" s="1"/>
  <c r="F144" i="16"/>
  <c r="F143" i="16" s="1"/>
  <c r="F142" i="16" s="1"/>
  <c r="F140" i="16" s="1"/>
  <c r="G137" i="16"/>
  <c r="G135" i="16"/>
  <c r="F135" i="16"/>
  <c r="F134" i="16" s="1"/>
  <c r="H134" i="16"/>
  <c r="H133" i="16" s="1"/>
  <c r="F133" i="16"/>
  <c r="G132" i="16"/>
  <c r="F132" i="16"/>
  <c r="H131" i="16"/>
  <c r="G130" i="16"/>
  <c r="G128" i="16"/>
  <c r="F128" i="16"/>
  <c r="F126" i="16" s="1"/>
  <c r="H127" i="16"/>
  <c r="G127" i="16"/>
  <c r="H125" i="16"/>
  <c r="G125" i="16"/>
  <c r="H124" i="16"/>
  <c r="G124" i="16"/>
  <c r="G123" i="16"/>
  <c r="G122" i="16"/>
  <c r="G121" i="16"/>
  <c r="H120" i="16"/>
  <c r="G120" i="16"/>
  <c r="H119" i="16"/>
  <c r="G119" i="16"/>
  <c r="G118" i="16"/>
  <c r="G117" i="16"/>
  <c r="G116" i="16"/>
  <c r="H115" i="16"/>
  <c r="G115" i="16"/>
  <c r="H113" i="16"/>
  <c r="G113" i="16"/>
  <c r="H112" i="16"/>
  <c r="G112" i="16"/>
  <c r="G111" i="16"/>
  <c r="G110" i="16"/>
  <c r="G109" i="16"/>
  <c r="G108" i="16"/>
  <c r="G107" i="16"/>
  <c r="F107" i="16"/>
  <c r="G106" i="16"/>
  <c r="F106" i="16"/>
  <c r="H105" i="16"/>
  <c r="G105" i="16"/>
  <c r="G104" i="16"/>
  <c r="H103" i="16"/>
  <c r="G103" i="16"/>
  <c r="G102" i="16"/>
  <c r="G101" i="16"/>
  <c r="H100" i="16"/>
  <c r="G100" i="16"/>
  <c r="G98" i="16"/>
  <c r="G97" i="16"/>
  <c r="H95" i="16"/>
  <c r="G95" i="16"/>
  <c r="F95" i="16"/>
  <c r="H94" i="16"/>
  <c r="G94" i="16"/>
  <c r="G93" i="16"/>
  <c r="F93" i="16"/>
  <c r="G91" i="16"/>
  <c r="G90" i="16"/>
  <c r="G89" i="16"/>
  <c r="F89" i="16"/>
  <c r="F88" i="16" s="1"/>
  <c r="G87" i="16"/>
  <c r="H86" i="16"/>
  <c r="H84" i="16" s="1"/>
  <c r="G86" i="16"/>
  <c r="G85" i="16"/>
  <c r="F85" i="16"/>
  <c r="F84" i="16" s="1"/>
  <c r="G82" i="16"/>
  <c r="G81" i="16" s="1"/>
  <c r="H81" i="16"/>
  <c r="F81" i="16"/>
  <c r="L80" i="16"/>
  <c r="H80" i="16"/>
  <c r="H79" i="16" s="1"/>
  <c r="G80" i="16"/>
  <c r="G79" i="16" s="1"/>
  <c r="F80" i="16"/>
  <c r="F79" i="16" s="1"/>
  <c r="H78" i="16"/>
  <c r="H77" i="16" s="1"/>
  <c r="G78" i="16"/>
  <c r="G77" i="16" s="1"/>
  <c r="F77" i="16"/>
  <c r="H44" i="16"/>
  <c r="H43" i="16" s="1"/>
  <c r="H42" i="16" s="1"/>
  <c r="H41" i="16" s="1"/>
  <c r="H39" i="16" s="1"/>
  <c r="G44" i="16"/>
  <c r="G43" i="16" s="1"/>
  <c r="G42" i="16" s="1"/>
  <c r="G41" i="16" s="1"/>
  <c r="F43" i="16"/>
  <c r="F42" i="16" s="1"/>
  <c r="F41" i="16" s="1"/>
  <c r="G36" i="16"/>
  <c r="F36" i="16"/>
  <c r="F34" i="16" s="1"/>
  <c r="F33" i="16" s="1"/>
  <c r="G35" i="16"/>
  <c r="H34" i="16"/>
  <c r="H33" i="16" s="1"/>
  <c r="G31" i="16"/>
  <c r="G30" i="16" s="1"/>
  <c r="G29" i="16" s="1"/>
  <c r="H30" i="16"/>
  <c r="H29" i="16" s="1"/>
  <c r="F30" i="16"/>
  <c r="H23" i="16"/>
  <c r="H22" i="16" s="1"/>
  <c r="H21" i="16" s="1"/>
  <c r="G23" i="16"/>
  <c r="G22" i="16" s="1"/>
  <c r="G21" i="16" s="1"/>
  <c r="F22" i="16"/>
  <c r="F21" i="16" s="1"/>
  <c r="G20" i="16"/>
  <c r="F19" i="16"/>
  <c r="G18" i="16"/>
  <c r="G17" i="16" s="1"/>
  <c r="H17" i="16"/>
  <c r="F17" i="16"/>
  <c r="G15" i="16"/>
  <c r="G14" i="16" s="1"/>
  <c r="H14" i="16"/>
  <c r="F14" i="16"/>
  <c r="G13" i="16"/>
  <c r="G12" i="16" s="1"/>
  <c r="H12" i="16"/>
  <c r="F12" i="16"/>
  <c r="T27" i="17"/>
  <c r="V27" i="17"/>
  <c r="R25" i="17"/>
  <c r="Q25" i="17"/>
  <c r="N3" i="17"/>
  <c r="N43" i="17"/>
  <c r="N52" i="17"/>
  <c r="N55" i="17"/>
  <c r="N54" i="17" s="1"/>
  <c r="Q53" i="17"/>
  <c r="G66" i="17"/>
  <c r="J66" i="17" s="1"/>
  <c r="M62" i="17"/>
  <c r="J62" i="17"/>
  <c r="G62" i="17"/>
  <c r="J56" i="17"/>
  <c r="J55" i="17" s="1"/>
  <c r="J54" i="17" s="1"/>
  <c r="I56" i="17"/>
  <c r="I55" i="17" s="1"/>
  <c r="I54" i="17" s="1"/>
  <c r="L55" i="17"/>
  <c r="L54" i="17" s="1"/>
  <c r="K55" i="17"/>
  <c r="K54" i="17" s="1"/>
  <c r="H55" i="17"/>
  <c r="H54" i="17" s="1"/>
  <c r="G55" i="17"/>
  <c r="G54" i="17" s="1"/>
  <c r="F55" i="17"/>
  <c r="F54" i="17" s="1"/>
  <c r="J53" i="17"/>
  <c r="M53" i="17" s="1"/>
  <c r="M52" i="17" s="1"/>
  <c r="L52" i="17"/>
  <c r="K52" i="17"/>
  <c r="I52" i="17"/>
  <c r="H52" i="17"/>
  <c r="G52" i="17"/>
  <c r="F52" i="17"/>
  <c r="G51" i="17"/>
  <c r="J51" i="17" s="1"/>
  <c r="M51" i="17" s="1"/>
  <c r="J50" i="17"/>
  <c r="M50" i="17" s="1"/>
  <c r="I50" i="17"/>
  <c r="K49" i="17"/>
  <c r="K43" i="17" s="1"/>
  <c r="J49" i="17"/>
  <c r="M49" i="17" s="1"/>
  <c r="I49" i="17"/>
  <c r="G48" i="17"/>
  <c r="J47" i="17"/>
  <c r="M47" i="17" s="1"/>
  <c r="I47" i="17"/>
  <c r="M46" i="17"/>
  <c r="J45" i="17"/>
  <c r="I45" i="17"/>
  <c r="L43" i="17"/>
  <c r="H43" i="17"/>
  <c r="F43" i="17"/>
  <c r="J42" i="17"/>
  <c r="M42" i="17" s="1"/>
  <c r="I42" i="17"/>
  <c r="G41" i="17"/>
  <c r="J41" i="17" s="1"/>
  <c r="J40" i="17"/>
  <c r="M40" i="17" s="1"/>
  <c r="I40" i="17"/>
  <c r="J39" i="17"/>
  <c r="M39" i="17" s="1"/>
  <c r="I39" i="17"/>
  <c r="J38" i="17"/>
  <c r="M38" i="17" s="1"/>
  <c r="I38" i="17"/>
  <c r="J37" i="17"/>
  <c r="M37" i="17" s="1"/>
  <c r="I37" i="17"/>
  <c r="J36" i="17"/>
  <c r="M36" i="17" s="1"/>
  <c r="I36" i="17"/>
  <c r="G35" i="17"/>
  <c r="J35" i="17" s="1"/>
  <c r="M35" i="17" s="1"/>
  <c r="J34" i="17"/>
  <c r="M34" i="17" s="1"/>
  <c r="I34" i="17"/>
  <c r="J33" i="17"/>
  <c r="M33" i="17" s="1"/>
  <c r="I33" i="17"/>
  <c r="J32" i="17"/>
  <c r="M32" i="17" s="1"/>
  <c r="L31" i="17"/>
  <c r="K31" i="17"/>
  <c r="H31" i="17"/>
  <c r="F31" i="17"/>
  <c r="J30" i="17"/>
  <c r="M30" i="17" s="1"/>
  <c r="I30" i="17"/>
  <c r="M29" i="17"/>
  <c r="K29" i="17"/>
  <c r="J28" i="17"/>
  <c r="M28" i="17" s="1"/>
  <c r="I28" i="17"/>
  <c r="J27" i="17"/>
  <c r="M27" i="17" s="1"/>
  <c r="I27" i="17"/>
  <c r="J26" i="17"/>
  <c r="M26" i="17" s="1"/>
  <c r="I26" i="17"/>
  <c r="G25" i="17"/>
  <c r="J25" i="17" s="1"/>
  <c r="M25" i="17" s="1"/>
  <c r="J24" i="17"/>
  <c r="M24" i="17" s="1"/>
  <c r="I24" i="17"/>
  <c r="G23" i="17"/>
  <c r="I23" i="17" s="1"/>
  <c r="G22" i="17"/>
  <c r="I22" i="17" s="1"/>
  <c r="M21" i="17"/>
  <c r="J20" i="17"/>
  <c r="M20" i="17" s="1"/>
  <c r="I20" i="17"/>
  <c r="J19" i="17"/>
  <c r="M19" i="17" s="1"/>
  <c r="I19" i="17"/>
  <c r="H18" i="17"/>
  <c r="G18" i="17"/>
  <c r="G16" i="17"/>
  <c r="J16" i="17" s="1"/>
  <c r="M16" i="17" s="1"/>
  <c r="J15" i="17"/>
  <c r="M15" i="17" s="1"/>
  <c r="J14" i="17"/>
  <c r="M14" i="17" s="1"/>
  <c r="I14" i="17"/>
  <c r="J13" i="17"/>
  <c r="M13" i="17" s="1"/>
  <c r="H12" i="17"/>
  <c r="J12" i="17" s="1"/>
  <c r="M12" i="17" s="1"/>
  <c r="K11" i="17"/>
  <c r="G11" i="17"/>
  <c r="I11" i="17" s="1"/>
  <c r="L9" i="17"/>
  <c r="F9" i="17"/>
  <c r="J8" i="17"/>
  <c r="M8" i="17" s="1"/>
  <c r="I8" i="17"/>
  <c r="J7" i="17"/>
  <c r="M7" i="17" s="1"/>
  <c r="I7" i="17"/>
  <c r="J6" i="17"/>
  <c r="M6" i="17" s="1"/>
  <c r="I6" i="17"/>
  <c r="J5" i="17"/>
  <c r="M5" i="17" s="1"/>
  <c r="I5" i="17"/>
  <c r="H4" i="17"/>
  <c r="H3" i="17" s="1"/>
  <c r="G4" i="17"/>
  <c r="L3" i="17"/>
  <c r="K3" i="17"/>
  <c r="F3" i="17"/>
  <c r="N27" i="17" l="1"/>
  <c r="N25" i="17"/>
  <c r="I5" i="16"/>
  <c r="I4" i="16" s="1"/>
  <c r="I70" i="16"/>
  <c r="I69" i="16" s="1"/>
  <c r="I68" i="16" s="1"/>
  <c r="I3" i="16" s="1"/>
  <c r="N64" i="17" s="1"/>
  <c r="J52" i="17"/>
  <c r="H126" i="16"/>
  <c r="G11" i="16"/>
  <c r="G614" i="16"/>
  <c r="G611" i="16" s="1"/>
  <c r="H11" i="16"/>
  <c r="G531" i="16"/>
  <c r="G530" i="16" s="1"/>
  <c r="F609" i="16"/>
  <c r="H496" i="16"/>
  <c r="G195" i="16"/>
  <c r="G192" i="16" s="1"/>
  <c r="G190" i="16" s="1"/>
  <c r="G189" i="16" s="1"/>
  <c r="F367" i="16"/>
  <c r="F180" i="16"/>
  <c r="G583" i="16"/>
  <c r="G582" i="16" s="1"/>
  <c r="G34" i="16"/>
  <c r="G33" i="16" s="1"/>
  <c r="G28" i="16" s="1"/>
  <c r="G605" i="16"/>
  <c r="G604" i="16" s="1"/>
  <c r="G602" i="16" s="1"/>
  <c r="G600" i="16" s="1"/>
  <c r="G264" i="16"/>
  <c r="G261" i="16" s="1"/>
  <c r="G258" i="16" s="1"/>
  <c r="H480" i="16"/>
  <c r="H479" i="16" s="1"/>
  <c r="H385" i="16"/>
  <c r="H384" i="16" s="1"/>
  <c r="H382" i="16" s="1"/>
  <c r="G393" i="16"/>
  <c r="G595" i="16"/>
  <c r="H159" i="16"/>
  <c r="H158" i="16" s="1"/>
  <c r="H156" i="16" s="1"/>
  <c r="H473" i="16"/>
  <c r="H471" i="16" s="1"/>
  <c r="G496" i="16"/>
  <c r="G504" i="16"/>
  <c r="P665" i="16"/>
  <c r="H180" i="16"/>
  <c r="H179" i="16" s="1"/>
  <c r="H177" i="16" s="1"/>
  <c r="H175" i="16" s="1"/>
  <c r="F195" i="16"/>
  <c r="F193" i="16" s="1"/>
  <c r="F190" i="16" s="1"/>
  <c r="F189" i="16" s="1"/>
  <c r="F410" i="16"/>
  <c r="F407" i="16" s="1"/>
  <c r="F405" i="16" s="1"/>
  <c r="F99" i="16"/>
  <c r="F83" i="16" s="1"/>
  <c r="F159" i="16"/>
  <c r="F158" i="16" s="1"/>
  <c r="F156" i="16" s="1"/>
  <c r="H195" i="16"/>
  <c r="H193" i="16" s="1"/>
  <c r="H190" i="16" s="1"/>
  <c r="H189" i="16" s="1"/>
  <c r="H431" i="16"/>
  <c r="H447" i="16"/>
  <c r="H446" i="16" s="1"/>
  <c r="H444" i="16" s="1"/>
  <c r="G677" i="16"/>
  <c r="G676" i="16" s="1"/>
  <c r="G675" i="16" s="1"/>
  <c r="H76" i="16"/>
  <c r="H236" i="16"/>
  <c r="H235" i="16" s="1"/>
  <c r="H233" i="16" s="1"/>
  <c r="H503" i="16"/>
  <c r="H495" i="16" s="1"/>
  <c r="G687" i="16"/>
  <c r="G686" i="16" s="1"/>
  <c r="G685" i="16" s="1"/>
  <c r="F365" i="16"/>
  <c r="F282" i="16"/>
  <c r="F279" i="16" s="1"/>
  <c r="F214" i="16" s="1"/>
  <c r="G609" i="16"/>
  <c r="G126" i="16"/>
  <c r="H582" i="16"/>
  <c r="H580" i="16" s="1"/>
  <c r="H578" i="16" s="1"/>
  <c r="H577" i="16" s="1"/>
  <c r="G84" i="16"/>
  <c r="G219" i="16"/>
  <c r="G19" i="16"/>
  <c r="G16" i="16" s="1"/>
  <c r="G159" i="16"/>
  <c r="G158" i="16" s="1"/>
  <c r="G156" i="16" s="1"/>
  <c r="G282" i="16"/>
  <c r="G279" i="16" s="1"/>
  <c r="G594" i="16"/>
  <c r="G593" i="16" s="1"/>
  <c r="G643" i="16"/>
  <c r="G634" i="16" s="1"/>
  <c r="G633" i="16" s="1"/>
  <c r="G632" i="16" s="1"/>
  <c r="G630" i="16" s="1"/>
  <c r="H660" i="16"/>
  <c r="H659" i="16" s="1"/>
  <c r="H658" i="16" s="1"/>
  <c r="H656" i="16" s="1"/>
  <c r="H16" i="16"/>
  <c r="G88" i="16"/>
  <c r="H261" i="16"/>
  <c r="H260" i="16" s="1"/>
  <c r="H258" i="16" s="1"/>
  <c r="H272" i="16"/>
  <c r="H271" i="16" s="1"/>
  <c r="H269" i="16" s="1"/>
  <c r="H282" i="16"/>
  <c r="H281" i="16" s="1"/>
  <c r="H279" i="16" s="1"/>
  <c r="G411" i="16"/>
  <c r="G509" i="16"/>
  <c r="G516" i="16"/>
  <c r="H540" i="16"/>
  <c r="H289" i="16"/>
  <c r="F16" i="16"/>
  <c r="F26" i="16"/>
  <c r="H88" i="16"/>
  <c r="G171" i="16"/>
  <c r="G168" i="16" s="1"/>
  <c r="H409" i="16"/>
  <c r="H407" i="16" s="1"/>
  <c r="H405" i="16" s="1"/>
  <c r="F496" i="16"/>
  <c r="F76" i="16"/>
  <c r="H99" i="16"/>
  <c r="G99" i="16"/>
  <c r="G134" i="16"/>
  <c r="G133" i="16" s="1"/>
  <c r="G272" i="16"/>
  <c r="G269" i="16" s="1"/>
  <c r="H370" i="16"/>
  <c r="H369" i="16" s="1"/>
  <c r="H367" i="16" s="1"/>
  <c r="F633" i="16"/>
  <c r="F632" i="16" s="1"/>
  <c r="F630" i="16" s="1"/>
  <c r="F628" i="16" s="1"/>
  <c r="H599" i="16"/>
  <c r="F11" i="16"/>
  <c r="G371" i="16"/>
  <c r="G370" i="16" s="1"/>
  <c r="G369" i="16" s="1"/>
  <c r="G410" i="16"/>
  <c r="G409" i="16" s="1"/>
  <c r="G407" i="16" s="1"/>
  <c r="G405" i="16" s="1"/>
  <c r="F503" i="16"/>
  <c r="G524" i="16"/>
  <c r="F577" i="16"/>
  <c r="G659" i="16"/>
  <c r="G658" i="16" s="1"/>
  <c r="G656" i="16" s="1"/>
  <c r="G76" i="16"/>
  <c r="H142" i="16"/>
  <c r="H140" i="16" s="1"/>
  <c r="F39" i="16"/>
  <c r="F38" i="16"/>
  <c r="G39" i="16"/>
  <c r="G38" i="16"/>
  <c r="H28" i="16"/>
  <c r="H26" i="16" s="1"/>
  <c r="G294" i="16"/>
  <c r="G292" i="16"/>
  <c r="G289" i="16" s="1"/>
  <c r="H170" i="16"/>
  <c r="H168" i="16" s="1"/>
  <c r="H166" i="16" s="1"/>
  <c r="F618" i="16"/>
  <c r="F620" i="16"/>
  <c r="H632" i="16"/>
  <c r="H630" i="16" s="1"/>
  <c r="F671" i="16"/>
  <c r="H8" i="16"/>
  <c r="H6" i="16" s="1"/>
  <c r="H5" i="16" s="1"/>
  <c r="H4" i="16" s="1"/>
  <c r="H393" i="16"/>
  <c r="G561" i="16"/>
  <c r="G563" i="16"/>
  <c r="G650" i="16"/>
  <c r="G648" i="16"/>
  <c r="F691" i="16"/>
  <c r="F694" i="16"/>
  <c r="F692" i="16" s="1"/>
  <c r="H251" i="16"/>
  <c r="H250" i="16" s="1"/>
  <c r="H248" i="16" s="1"/>
  <c r="G303" i="16"/>
  <c r="G473" i="16"/>
  <c r="G471" i="16" s="1"/>
  <c r="G475" i="16"/>
  <c r="G431" i="16"/>
  <c r="G421" i="16" s="1"/>
  <c r="G434" i="16"/>
  <c r="G542" i="16"/>
  <c r="G540" i="16" s="1"/>
  <c r="G544" i="16"/>
  <c r="G696" i="16"/>
  <c r="G691" i="16"/>
  <c r="G694" i="16"/>
  <c r="G692" i="16" s="1"/>
  <c r="G360" i="16"/>
  <c r="G570" i="16"/>
  <c r="G568" i="16" s="1"/>
  <c r="G43" i="17"/>
  <c r="K9" i="17"/>
  <c r="K2" i="17" s="1"/>
  <c r="K58" i="17" s="1"/>
  <c r="H9" i="17"/>
  <c r="H2" i="17" s="1"/>
  <c r="H58" i="17" s="1"/>
  <c r="J4" i="17"/>
  <c r="M4" i="17" s="1"/>
  <c r="M3" i="17" s="1"/>
  <c r="J23" i="17"/>
  <c r="M23" i="17" s="1"/>
  <c r="F2" i="17"/>
  <c r="F58" i="17" s="1"/>
  <c r="G3" i="17"/>
  <c r="L2" i="17"/>
  <c r="L58" i="17" s="1"/>
  <c r="J22" i="17"/>
  <c r="M22" i="17" s="1"/>
  <c r="I35" i="17"/>
  <c r="I48" i="17"/>
  <c r="J18" i="17"/>
  <c r="M18" i="17" s="1"/>
  <c r="J48" i="17"/>
  <c r="M48" i="17" s="1"/>
  <c r="J11" i="17"/>
  <c r="M11" i="17" s="1"/>
  <c r="M41" i="17"/>
  <c r="M31" i="17" s="1"/>
  <c r="J31" i="17"/>
  <c r="I4" i="17"/>
  <c r="I3" i="17" s="1"/>
  <c r="I16" i="17"/>
  <c r="I25" i="17"/>
  <c r="G31" i="17"/>
  <c r="I41" i="17"/>
  <c r="M45" i="17"/>
  <c r="M56" i="17"/>
  <c r="M55" i="17" s="1"/>
  <c r="M54" i="17" s="1"/>
  <c r="G9" i="17"/>
  <c r="I18" i="17"/>
  <c r="I51" i="17"/>
  <c r="N9" i="17" l="1"/>
  <c r="N2" i="17" s="1"/>
  <c r="N58" i="17" s="1"/>
  <c r="N63" i="17" s="1"/>
  <c r="N66" i="17" s="1"/>
  <c r="G10" i="16"/>
  <c r="G8" i="16" s="1"/>
  <c r="G613" i="16"/>
  <c r="F10" i="16"/>
  <c r="F8" i="16" s="1"/>
  <c r="F6" i="16" s="1"/>
  <c r="F5" i="16" s="1"/>
  <c r="F4" i="16" s="1"/>
  <c r="H10" i="16"/>
  <c r="H421" i="16"/>
  <c r="F599" i="16"/>
  <c r="G367" i="16"/>
  <c r="G365" i="16" s="1"/>
  <c r="G589" i="16"/>
  <c r="G577" i="16" s="1"/>
  <c r="G673" i="16"/>
  <c r="G26" i="16"/>
  <c r="H492" i="16"/>
  <c r="H490" i="16" s="1"/>
  <c r="H489" i="16" s="1"/>
  <c r="G683" i="16"/>
  <c r="G681" i="16" s="1"/>
  <c r="G271" i="16"/>
  <c r="F212" i="16"/>
  <c r="G260" i="16"/>
  <c r="G599" i="16"/>
  <c r="H83" i="16"/>
  <c r="H75" i="16" s="1"/>
  <c r="H72" i="16" s="1"/>
  <c r="F492" i="16"/>
  <c r="F490" i="16" s="1"/>
  <c r="F489" i="16" s="1"/>
  <c r="G281" i="16"/>
  <c r="G83" i="16"/>
  <c r="G75" i="16" s="1"/>
  <c r="G72" i="16" s="1"/>
  <c r="G70" i="16" s="1"/>
  <c r="G69" i="16" s="1"/>
  <c r="G580" i="16"/>
  <c r="H214" i="16"/>
  <c r="G170" i="16"/>
  <c r="H628" i="16"/>
  <c r="H627" i="16" s="1"/>
  <c r="F75" i="16"/>
  <c r="F73" i="16" s="1"/>
  <c r="F70" i="16" s="1"/>
  <c r="F69" i="16" s="1"/>
  <c r="G503" i="16"/>
  <c r="G495" i="16" s="1"/>
  <c r="G214" i="16"/>
  <c r="G628" i="16"/>
  <c r="G578" i="16"/>
  <c r="H365" i="16"/>
  <c r="F627" i="16"/>
  <c r="M9" i="17"/>
  <c r="J3" i="17"/>
  <c r="I43" i="17"/>
  <c r="J43" i="17"/>
  <c r="I31" i="17"/>
  <c r="U6" i="17"/>
  <c r="G2" i="17"/>
  <c r="G58" i="17" s="1"/>
  <c r="G64" i="17" s="1"/>
  <c r="G68" i="17" s="1"/>
  <c r="M43" i="17"/>
  <c r="I9" i="17"/>
  <c r="J9" i="17"/>
  <c r="G6" i="16" l="1"/>
  <c r="G5" i="16" s="1"/>
  <c r="G4" i="16" s="1"/>
  <c r="H70" i="16"/>
  <c r="H69" i="16" s="1"/>
  <c r="G492" i="16"/>
  <c r="G490" i="16" s="1"/>
  <c r="G489" i="16" s="1"/>
  <c r="G212" i="16"/>
  <c r="F68" i="16"/>
  <c r="F3" i="16" s="1"/>
  <c r="G671" i="16"/>
  <c r="G627" i="16" s="1"/>
  <c r="H212" i="16"/>
  <c r="N16" i="16"/>
  <c r="Q17" i="16" s="1"/>
  <c r="M2" i="17"/>
  <c r="M58" i="17" s="1"/>
  <c r="M64" i="17" s="1"/>
  <c r="J2" i="17"/>
  <c r="J58" i="17" s="1"/>
  <c r="J64" i="17" s="1"/>
  <c r="J68" i="17" s="1"/>
  <c r="I2" i="17"/>
  <c r="I58" i="17" s="1"/>
  <c r="H68" i="16" l="1"/>
  <c r="H3" i="16" s="1"/>
  <c r="G68" i="16"/>
  <c r="G3" i="16" s="1"/>
  <c r="M68" i="17"/>
  <c r="C40" i="5"/>
  <c r="B40" i="5"/>
  <c r="C23" i="5"/>
  <c r="B23" i="5"/>
  <c r="D12" i="5"/>
  <c r="E12" i="5"/>
  <c r="F12" i="5"/>
  <c r="C12" i="5"/>
  <c r="C68" i="11"/>
  <c r="C66" i="11" s="1"/>
  <c r="D66" i="11"/>
  <c r="F66" i="11"/>
  <c r="C61" i="11"/>
  <c r="C59" i="11" s="1"/>
  <c r="C21" i="11"/>
  <c r="C12" i="11"/>
  <c r="C27" i="11"/>
  <c r="C35" i="5" l="1"/>
  <c r="B35" i="5"/>
  <c r="C30" i="5"/>
  <c r="B30" i="5"/>
  <c r="C28" i="5"/>
  <c r="D28" i="5"/>
  <c r="E28" i="5"/>
  <c r="F28" i="5"/>
  <c r="B28" i="5"/>
  <c r="C20" i="5"/>
  <c r="B20" i="5"/>
  <c r="C16" i="5"/>
  <c r="B16" i="5"/>
  <c r="F14" i="5"/>
  <c r="C14" i="5"/>
  <c r="D14" i="5"/>
  <c r="D7" i="5" s="1"/>
  <c r="E14" i="5"/>
  <c r="B14" i="5"/>
  <c r="C8" i="5"/>
  <c r="B8" i="5"/>
  <c r="F7" i="5" l="1"/>
  <c r="E7" i="5"/>
  <c r="B7" i="5"/>
  <c r="B66" i="11"/>
  <c r="B59" i="11"/>
  <c r="C57" i="11"/>
  <c r="D57" i="11"/>
  <c r="D50" i="11" s="1"/>
  <c r="E57" i="11"/>
  <c r="F57" i="11"/>
  <c r="B57" i="11"/>
  <c r="C51" i="11"/>
  <c r="C50" i="11" s="1"/>
  <c r="E51" i="11"/>
  <c r="F51" i="11"/>
  <c r="B51" i="11"/>
  <c r="C26" i="11"/>
  <c r="D26" i="11"/>
  <c r="E26" i="11"/>
  <c r="F26" i="11"/>
  <c r="B26" i="11"/>
  <c r="C19" i="11"/>
  <c r="E19" i="11"/>
  <c r="F19" i="11"/>
  <c r="B19" i="11"/>
  <c r="C16" i="11"/>
  <c r="D16" i="11"/>
  <c r="E16" i="11"/>
  <c r="F16" i="11"/>
  <c r="B16" i="11"/>
  <c r="C10" i="11"/>
  <c r="D10" i="11"/>
  <c r="E10" i="11"/>
  <c r="F10" i="11"/>
  <c r="B10" i="11"/>
  <c r="D9" i="11" l="1"/>
  <c r="B50" i="11"/>
  <c r="F50" i="11"/>
  <c r="E50" i="11"/>
  <c r="C9" i="11"/>
  <c r="B9" i="11"/>
  <c r="F9" i="11"/>
  <c r="E9" i="11"/>
  <c r="E10" i="3" l="1"/>
  <c r="F10" i="3"/>
  <c r="G10" i="3"/>
  <c r="H10" i="3"/>
  <c r="D10" i="3"/>
  <c r="H16" i="1" l="1"/>
  <c r="G60" i="7"/>
  <c r="F60" i="7"/>
  <c r="F18" i="7"/>
  <c r="F58" i="7" l="1"/>
  <c r="L9" i="7"/>
  <c r="L17" i="7" s="1"/>
  <c r="L24" i="7" s="1"/>
  <c r="G58" i="7"/>
  <c r="M9" i="7"/>
  <c r="M17" i="7" s="1"/>
  <c r="M24" i="7" s="1"/>
  <c r="F160" i="7"/>
  <c r="G160" i="7"/>
  <c r="F85" i="7"/>
  <c r="G85" i="7"/>
  <c r="F290" i="7"/>
  <c r="F287" i="7" s="1"/>
  <c r="G290" i="7"/>
  <c r="G287" i="7" s="1"/>
  <c r="F280" i="7"/>
  <c r="G280" i="7"/>
  <c r="F198" i="7"/>
  <c r="F192" i="7"/>
  <c r="F188" i="7" s="1"/>
  <c r="G192" i="7"/>
  <c r="G188" i="7" s="1"/>
  <c r="G222" i="7"/>
  <c r="G218" i="7" s="1"/>
  <c r="F222" i="7"/>
  <c r="F218" i="7" s="1"/>
  <c r="F297" i="7" l="1"/>
  <c r="F292" i="7" s="1"/>
  <c r="G297" i="7"/>
  <c r="G292" i="7" s="1"/>
  <c r="F239" i="7"/>
  <c r="G239" i="7"/>
  <c r="F78" i="7"/>
  <c r="F74" i="7" s="1"/>
  <c r="G78" i="7"/>
  <c r="G74" i="7" s="1"/>
  <c r="F91" i="7"/>
  <c r="F88" i="7" s="1"/>
  <c r="G91" i="7"/>
  <c r="G88" i="7" s="1"/>
  <c r="F104" i="7"/>
  <c r="F99" i="7" s="1"/>
  <c r="G104" i="7"/>
  <c r="G99" i="7" s="1"/>
  <c r="F112" i="7"/>
  <c r="F108" i="7" s="1"/>
  <c r="G112" i="7"/>
  <c r="G108" i="7" s="1"/>
  <c r="F128" i="7"/>
  <c r="G128" i="7"/>
  <c r="F133" i="7"/>
  <c r="F130" i="7" s="1"/>
  <c r="G133" i="7"/>
  <c r="G130" i="7" s="1"/>
  <c r="F139" i="7"/>
  <c r="F135" i="7" s="1"/>
  <c r="G139" i="7"/>
  <c r="G135" i="7" s="1"/>
  <c r="F144" i="7"/>
  <c r="F141" i="7" s="1"/>
  <c r="G144" i="7"/>
  <c r="G141" i="7" s="1"/>
  <c r="F154" i="7"/>
  <c r="F146" i="7" s="1"/>
  <c r="G154" i="7"/>
  <c r="G146" i="7" s="1"/>
  <c r="F167" i="7"/>
  <c r="G167" i="7"/>
  <c r="F246" i="7"/>
  <c r="G246" i="7"/>
  <c r="F252" i="7"/>
  <c r="F249" i="7" s="1"/>
  <c r="G252" i="7"/>
  <c r="G249" i="7" s="1"/>
  <c r="F257" i="7"/>
  <c r="F254" i="7" s="1"/>
  <c r="G257" i="7"/>
  <c r="G254" i="7" s="1"/>
  <c r="F263" i="7"/>
  <c r="G263" i="7"/>
  <c r="F278" i="7"/>
  <c r="G278" i="7"/>
  <c r="G285" i="7"/>
  <c r="G282" i="7" s="1"/>
  <c r="F285" i="7"/>
  <c r="F282" i="7" s="1"/>
  <c r="G304" i="7"/>
  <c r="G306" i="7"/>
  <c r="F306" i="7"/>
  <c r="F319" i="7"/>
  <c r="G319" i="7"/>
  <c r="F323" i="7"/>
  <c r="F331" i="7"/>
  <c r="G331" i="7"/>
  <c r="F337" i="7"/>
  <c r="F334" i="7" s="1"/>
  <c r="G337" i="7"/>
  <c r="G334" i="7" s="1"/>
  <c r="F344" i="7"/>
  <c r="G344" i="7"/>
  <c r="F350" i="7"/>
  <c r="G350" i="7"/>
  <c r="F361" i="7"/>
  <c r="G361" i="7"/>
  <c r="F368" i="7"/>
  <c r="G368" i="7"/>
  <c r="F377" i="7"/>
  <c r="G377" i="7"/>
  <c r="F383" i="7"/>
  <c r="G383" i="7"/>
  <c r="F389" i="7"/>
  <c r="G389" i="7"/>
  <c r="F398" i="7"/>
  <c r="G398" i="7"/>
  <c r="F404" i="7"/>
  <c r="G404" i="7"/>
  <c r="F409" i="7"/>
  <c r="G409" i="7"/>
  <c r="F416" i="7"/>
  <c r="G416" i="7"/>
  <c r="F422" i="7"/>
  <c r="G422" i="7"/>
  <c r="F430" i="7"/>
  <c r="G430" i="7"/>
  <c r="E430" i="7"/>
  <c r="E422" i="7"/>
  <c r="E416" i="7"/>
  <c r="E409" i="7"/>
  <c r="E404" i="7"/>
  <c r="E398" i="7"/>
  <c r="E389" i="7"/>
  <c r="E383" i="7"/>
  <c r="E377" i="7"/>
  <c r="E368" i="7"/>
  <c r="E361" i="7"/>
  <c r="E350" i="7"/>
  <c r="E344" i="7"/>
  <c r="E337" i="7"/>
  <c r="E334" i="7" s="1"/>
  <c r="E323" i="7"/>
  <c r="E319" i="7"/>
  <c r="E306" i="7"/>
  <c r="E304" i="7"/>
  <c r="E297" i="7"/>
  <c r="E292" i="7" s="1"/>
  <c r="E290" i="7"/>
  <c r="E287" i="7" s="1"/>
  <c r="E285" i="7"/>
  <c r="E282" i="7" s="1"/>
  <c r="E280" i="7"/>
  <c r="E278" i="7"/>
  <c r="E270" i="7"/>
  <c r="E263" i="7"/>
  <c r="E257" i="7"/>
  <c r="E254" i="7" s="1"/>
  <c r="E252" i="7"/>
  <c r="E249" i="7" s="1"/>
  <c r="E246" i="7"/>
  <c r="E239" i="7"/>
  <c r="E216" i="7"/>
  <c r="E211" i="7"/>
  <c r="E208" i="7" s="1"/>
  <c r="E210" i="7" s="1"/>
  <c r="E206" i="7"/>
  <c r="E200" i="7" s="1"/>
  <c r="E198" i="7"/>
  <c r="E192" i="7"/>
  <c r="E180" i="7"/>
  <c r="E167" i="7"/>
  <c r="E160" i="7"/>
  <c r="E154" i="7"/>
  <c r="E146" i="7" s="1"/>
  <c r="E144" i="7"/>
  <c r="E141" i="7" s="1"/>
  <c r="E139" i="7"/>
  <c r="E135" i="7" s="1"/>
  <c r="E133" i="7"/>
  <c r="E130" i="7" s="1"/>
  <c r="E128" i="7"/>
  <c r="E112" i="7"/>
  <c r="E108" i="7" s="1"/>
  <c r="E104" i="7"/>
  <c r="E99" i="7" s="1"/>
  <c r="E91" i="7"/>
  <c r="E88" i="7" s="1"/>
  <c r="E85" i="7"/>
  <c r="E78" i="7"/>
  <c r="E74" i="7" s="1"/>
  <c r="E72" i="7"/>
  <c r="E69" i="7" s="1"/>
  <c r="K45" i="7" l="1"/>
  <c r="K50" i="7" s="1"/>
  <c r="K52" i="7" s="1"/>
  <c r="E118" i="7"/>
  <c r="G107" i="7"/>
  <c r="F107" i="7"/>
  <c r="G87" i="7"/>
  <c r="F87" i="7"/>
  <c r="G314" i="7"/>
  <c r="H13" i="15"/>
  <c r="J13" i="15"/>
  <c r="F13" i="15"/>
  <c r="D25" i="3"/>
  <c r="F67" i="7"/>
  <c r="F62" i="7" s="1"/>
  <c r="G67" i="7"/>
  <c r="G62" i="7" s="1"/>
  <c r="E67" i="7"/>
  <c r="E62" i="7" s="1"/>
  <c r="F25" i="7"/>
  <c r="F22" i="7" s="1"/>
  <c r="G25" i="7"/>
  <c r="G22" i="7" s="1"/>
  <c r="F43" i="7"/>
  <c r="F40" i="7" s="1"/>
  <c r="G43" i="7"/>
  <c r="G40" i="7" s="1"/>
  <c r="F51" i="7"/>
  <c r="G51" i="7"/>
  <c r="E51" i="7"/>
  <c r="E43" i="7"/>
  <c r="E40" i="7" s="1"/>
  <c r="E25" i="7"/>
  <c r="E22" i="7" s="1"/>
  <c r="E18" i="7"/>
  <c r="G18" i="7"/>
  <c r="E39" i="7" l="1"/>
  <c r="G39" i="7"/>
  <c r="F39" i="7"/>
  <c r="E50" i="7"/>
  <c r="G50" i="7"/>
  <c r="F50" i="7"/>
  <c r="G313" i="7"/>
  <c r="E38" i="3" l="1"/>
  <c r="E37" i="3"/>
  <c r="E36" i="3"/>
  <c r="C7" i="5" l="1"/>
  <c r="E25" i="3"/>
  <c r="E17" i="3"/>
  <c r="E9" i="3" s="1"/>
  <c r="E24" i="3" l="1"/>
  <c r="G19" i="1"/>
  <c r="F45" i="1"/>
  <c r="G42" i="1" s="1"/>
  <c r="G45" i="1" s="1"/>
  <c r="H42" i="1" s="1"/>
  <c r="H45" i="1" s="1"/>
  <c r="I42" i="1" s="1"/>
  <c r="I45" i="1" s="1"/>
  <c r="J42" i="1" s="1"/>
  <c r="J45" i="1" s="1"/>
  <c r="J29" i="1"/>
  <c r="I29" i="1"/>
  <c r="H29" i="1"/>
  <c r="G29" i="1"/>
  <c r="F29" i="1"/>
  <c r="G16" i="1" l="1"/>
  <c r="G22" i="1" s="1"/>
  <c r="F25" i="3" l="1"/>
  <c r="G25" i="3"/>
  <c r="H25" i="3"/>
  <c r="F300" i="7"/>
  <c r="E300" i="7"/>
  <c r="G300" i="7"/>
  <c r="G299" i="7" s="1"/>
  <c r="E267" i="7"/>
  <c r="E213" i="7"/>
  <c r="E188" i="7"/>
  <c r="F194" i="7"/>
  <c r="G194" i="7"/>
  <c r="E194" i="7"/>
  <c r="F24" i="3" l="1"/>
  <c r="E299" i="7"/>
  <c r="F299" i="7"/>
  <c r="E427" i="7" l="1"/>
  <c r="F427" i="7"/>
  <c r="G427" i="7"/>
  <c r="E419" i="7"/>
  <c r="F419" i="7"/>
  <c r="G419" i="7"/>
  <c r="E413" i="7"/>
  <c r="E412" i="7" s="1"/>
  <c r="F413" i="7"/>
  <c r="G413" i="7"/>
  <c r="F412" i="7" l="1"/>
  <c r="G412" i="7"/>
  <c r="G418" i="7"/>
  <c r="E418" i="7"/>
  <c r="G426" i="7"/>
  <c r="G424" i="7" s="1"/>
  <c r="F426" i="7"/>
  <c r="F424" i="7" s="1"/>
  <c r="F418" i="7"/>
  <c r="E426" i="7"/>
  <c r="E424" i="7" s="1"/>
  <c r="E406" i="7" l="1"/>
  <c r="F406" i="7"/>
  <c r="G406" i="7"/>
  <c r="E401" i="7"/>
  <c r="F401" i="7"/>
  <c r="G401" i="7"/>
  <c r="E395" i="7"/>
  <c r="F395" i="7"/>
  <c r="G395" i="7"/>
  <c r="E386" i="7"/>
  <c r="F386" i="7"/>
  <c r="G386" i="7"/>
  <c r="E380" i="7"/>
  <c r="F380" i="7"/>
  <c r="G380" i="7"/>
  <c r="E373" i="7"/>
  <c r="F373" i="7"/>
  <c r="G373" i="7"/>
  <c r="E365" i="7"/>
  <c r="F365" i="7"/>
  <c r="F364" i="7" s="1"/>
  <c r="G365" i="7"/>
  <c r="F385" i="7" l="1"/>
  <c r="E372" i="7"/>
  <c r="G385" i="7"/>
  <c r="E364" i="7"/>
  <c r="E394" i="7"/>
  <c r="E391" i="7" s="1"/>
  <c r="G372" i="7"/>
  <c r="F379" i="7"/>
  <c r="E385" i="7"/>
  <c r="F394" i="7"/>
  <c r="F391" i="7" s="1"/>
  <c r="G379" i="7"/>
  <c r="G364" i="7"/>
  <c r="F372" i="7"/>
  <c r="E379" i="7"/>
  <c r="G394" i="7"/>
  <c r="G391" i="7" s="1"/>
  <c r="E357" i="7"/>
  <c r="F357" i="7"/>
  <c r="G357" i="7"/>
  <c r="E347" i="7"/>
  <c r="F347" i="7"/>
  <c r="G347" i="7"/>
  <c r="E340" i="7"/>
  <c r="F340" i="7"/>
  <c r="G340" i="7"/>
  <c r="E326" i="7"/>
  <c r="F326" i="7"/>
  <c r="G326" i="7"/>
  <c r="E272" i="7"/>
  <c r="F272" i="7"/>
  <c r="G272" i="7"/>
  <c r="E260" i="7"/>
  <c r="F260" i="7"/>
  <c r="G260" i="7"/>
  <c r="E242" i="7"/>
  <c r="F242" i="7"/>
  <c r="G242" i="7"/>
  <c r="E234" i="7"/>
  <c r="F234" i="7"/>
  <c r="G234" i="7"/>
  <c r="E176" i="7"/>
  <c r="E169" i="7" s="1"/>
  <c r="F176" i="7"/>
  <c r="F169" i="7" s="1"/>
  <c r="G176" i="7"/>
  <c r="G169" i="7" s="1"/>
  <c r="E162" i="7"/>
  <c r="F162" i="7"/>
  <c r="G162" i="7"/>
  <c r="E156" i="7"/>
  <c r="F156" i="7"/>
  <c r="G156" i="7"/>
  <c r="E120" i="7"/>
  <c r="F120" i="7"/>
  <c r="G120" i="7"/>
  <c r="E107" i="7"/>
  <c r="E98" i="7"/>
  <c r="F98" i="7"/>
  <c r="F94" i="7" s="1"/>
  <c r="G98" i="7"/>
  <c r="G94" i="7" s="1"/>
  <c r="E87" i="7"/>
  <c r="E81" i="7"/>
  <c r="F81" i="7"/>
  <c r="G81" i="7"/>
  <c r="E15" i="7"/>
  <c r="F15" i="7"/>
  <c r="G15" i="7"/>
  <c r="E14" i="7" l="1"/>
  <c r="F370" i="7"/>
  <c r="E370" i="7"/>
  <c r="F259" i="7"/>
  <c r="G266" i="7"/>
  <c r="G259" i="7"/>
  <c r="F266" i="7"/>
  <c r="E259" i="7"/>
  <c r="G232" i="7"/>
  <c r="E266" i="7"/>
  <c r="F232" i="7"/>
  <c r="E232" i="7"/>
  <c r="E94" i="7"/>
  <c r="E80" i="7"/>
  <c r="G80" i="7"/>
  <c r="G14" i="7"/>
  <c r="F80" i="7"/>
  <c r="G119" i="7"/>
  <c r="G370" i="7"/>
  <c r="G339" i="7"/>
  <c r="F346" i="7"/>
  <c r="F14" i="7"/>
  <c r="F119" i="7"/>
  <c r="G325" i="7"/>
  <c r="F339" i="7"/>
  <c r="E346" i="7"/>
  <c r="F325" i="7"/>
  <c r="E339" i="7"/>
  <c r="E325" i="7"/>
  <c r="G346" i="7"/>
  <c r="E241" i="7"/>
  <c r="E119" i="7"/>
  <c r="F356" i="7"/>
  <c r="F352" i="7" s="1"/>
  <c r="E356" i="7"/>
  <c r="E352" i="7" s="1"/>
  <c r="G356" i="7"/>
  <c r="G352" i="7" s="1"/>
  <c r="F314" i="7"/>
  <c r="E314" i="7"/>
  <c r="G241" i="7"/>
  <c r="F241" i="7" l="1"/>
  <c r="F114" i="7" s="1"/>
  <c r="F313" i="7"/>
  <c r="F309" i="7" s="1"/>
  <c r="E46" i="7"/>
  <c r="G114" i="7"/>
  <c r="G46" i="7"/>
  <c r="F46" i="7"/>
  <c r="G309" i="7"/>
  <c r="E11" i="7"/>
  <c r="E10" i="7" s="1"/>
  <c r="F11" i="7"/>
  <c r="F10" i="7" s="1"/>
  <c r="G11" i="7"/>
  <c r="G10" i="7" s="1"/>
  <c r="E313" i="7"/>
  <c r="E309" i="7" s="1"/>
  <c r="E114" i="7"/>
  <c r="E45" i="7" l="1"/>
  <c r="E9" i="7" s="1"/>
  <c r="G45" i="7"/>
  <c r="G9" i="7" s="1"/>
  <c r="F45" i="7"/>
  <c r="F9" i="7" s="1"/>
  <c r="G24" i="3" l="1"/>
  <c r="H24" i="3"/>
  <c r="D36" i="3"/>
  <c r="F17" i="3"/>
  <c r="F9" i="3" s="1"/>
  <c r="G17" i="3"/>
  <c r="G9" i="3" s="1"/>
  <c r="H17" i="3"/>
  <c r="H9" i="3" s="1"/>
  <c r="D17" i="3" l="1"/>
  <c r="D9" i="3" s="1"/>
  <c r="D24" i="3"/>
  <c r="H19" i="1" l="1"/>
  <c r="H22" i="1" s="1"/>
  <c r="J19" i="1"/>
  <c r="I16" i="1"/>
  <c r="J16" i="1"/>
  <c r="H37" i="1" l="1"/>
  <c r="H30" i="1"/>
  <c r="J22" i="1"/>
  <c r="F19" i="1"/>
  <c r="F16" i="1"/>
  <c r="I19" i="1"/>
  <c r="I22" i="1" s="1"/>
  <c r="J30" i="1" l="1"/>
  <c r="J36" i="1" s="1"/>
  <c r="J37" i="1" s="1"/>
  <c r="I30" i="1"/>
  <c r="I36" i="1" s="1"/>
  <c r="I37" i="1" s="1"/>
  <c r="F22" i="1"/>
  <c r="F30" i="1" s="1"/>
  <c r="F36" i="1" s="1"/>
  <c r="F37" i="1" s="1"/>
  <c r="G30" i="1" l="1"/>
  <c r="G36" i="1" s="1"/>
  <c r="G37" i="1" s="1"/>
</calcChain>
</file>

<file path=xl/sharedStrings.xml><?xml version="1.0" encoding="utf-8"?>
<sst xmlns="http://schemas.openxmlformats.org/spreadsheetml/2006/main" count="1522" uniqueCount="907">
  <si>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</si>
  <si>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</si>
  <si>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</si>
  <si>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</si>
  <si>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</si>
  <si>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</si>
  <si>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</si>
  <si>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</si>
  <si>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</si>
  <si>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</si>
  <si>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</si>
  <si>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</si>
  <si>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</si>
  <si>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</si>
  <si>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</si>
  <si>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Prihodi od poreza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</si>
  <si>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</si>
  <si>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</si>
  <si>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</si>
  <si>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</si>
  <si>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</si>
  <si>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</si>
  <si>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</si>
  <si>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UKUPNI RASHODI</t>
  </si>
  <si>
    <t>01 Opće javne usluge</t>
  </si>
  <si>
    <t>04 Ekonomski poslovi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</si>
  <si>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</si>
  <si>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</si>
  <si>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</si>
  <si>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</si>
  <si>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</si>
  <si>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</si>
  <si>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</si>
  <si>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</si>
  <si>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</si>
  <si>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</si>
  <si>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</si>
  <si>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B) SAŽETAK RAČUNA FINANCIRANJA</t>
  </si>
  <si>
    <t>A) SAŽETAK RAČUNA PRIHODA I RASHODA</t>
  </si>
  <si>
    <t>Rashodi za nabavu proizvedene dugotrajne imovine</t>
  </si>
  <si>
    <t>Prihodi od imovine</t>
  </si>
  <si>
    <t>Naziv</t>
  </si>
  <si>
    <t>Prijedlog</t>
  </si>
  <si>
    <t xml:space="preserve">Pomoći iz inozemstva i od subjekata unutar općeg proračuna </t>
  </si>
  <si>
    <t>Prihodi od prodaje proizvedene dugotrajne imovine</t>
  </si>
  <si>
    <t xml:space="preserve">Prihodi od upravnih i administrativnih pristojbi, pristojbi po posebnim propisima i naknada </t>
  </si>
  <si>
    <t xml:space="preserve">Prihodi od prodaje proizvoda i robe te pruženih usluga, donacija te povrati po protestiranim jamstvima </t>
  </si>
  <si>
    <t>Subvencije</t>
  </si>
  <si>
    <t>Pomoći dane u inozemstvo i unutar općeg proračuna</t>
  </si>
  <si>
    <t xml:space="preserve">Naknade građanima i kućanstvima na temelju osiguranja i druge naknade </t>
  </si>
  <si>
    <t>Ostali rashodi</t>
  </si>
  <si>
    <t xml:space="preserve">Rashodi za dodatna ulaganja na nefinancijskoj imovini </t>
  </si>
  <si>
    <t>03 Javni red i sigurnost</t>
  </si>
  <si>
    <t>05 Zaštita okoliša</t>
  </si>
  <si>
    <t>06 Usluge unaprjeđenja stanovanja i zajednice</t>
  </si>
  <si>
    <t>02 Obrana</t>
  </si>
  <si>
    <t>07 Zdravstvo</t>
  </si>
  <si>
    <t>08 Rekreacija, kultura i religija</t>
  </si>
  <si>
    <t>09 Obrazovanje</t>
  </si>
  <si>
    <t>0911 Predškolsko obrazovanje</t>
  </si>
  <si>
    <t>0912 Osnovnoškolsko obrazovanje</t>
  </si>
  <si>
    <t>092 Srednjoškolsko obrazovanje</t>
  </si>
  <si>
    <t>094 Visoka naobrazba</t>
  </si>
  <si>
    <t>10 Socijalna zaštita</t>
  </si>
  <si>
    <t>RAZDJEL 001 PREDSTAVNIČKA I IZVRŠNA TIJELA</t>
  </si>
  <si>
    <t xml:space="preserve">GLAVA 00101:Predstavnička i izvršna tijela </t>
  </si>
  <si>
    <t>Program 01: Predstavnička i izvršna vlast</t>
  </si>
  <si>
    <t>Izvor financiranja: 01 - Opći prihodi i primici</t>
  </si>
  <si>
    <t>Izvor financiranja: 05 - Pomoći</t>
  </si>
  <si>
    <t>RAZDJEL 002 JEDINSTVENI UPRAVNI ODJEL</t>
  </si>
  <si>
    <t>GLAVA 00201: Jedinstveni upravni odjel</t>
  </si>
  <si>
    <t>Aktivnost A002010103: Izrada dokumentacije</t>
  </si>
  <si>
    <t>Aktivnost A002010104: Nabava opreme i namještaja</t>
  </si>
  <si>
    <t xml:space="preserve">Program 02: Zapošljavanje osoba na javnim radovima </t>
  </si>
  <si>
    <t xml:space="preserve">Aktivnost A002020101: Redovni rad osoba na javnim radovima </t>
  </si>
  <si>
    <t>GLAVA 00202: Poljoprivreda i poduzetništvo</t>
  </si>
  <si>
    <t>Program 01: Unaprjeđenje poljoprivrede</t>
  </si>
  <si>
    <t>i stočarstva</t>
  </si>
  <si>
    <t>Program 02: Unaprjeđenje razvoja turizma</t>
  </si>
  <si>
    <t xml:space="preserve">GLAVA 00203: Prostorno planiranje, uređenje </t>
  </si>
  <si>
    <t>i komunalne djelatnosti</t>
  </si>
  <si>
    <t>Program 02: Program građenja komunalne infrastrukture</t>
  </si>
  <si>
    <t xml:space="preserve">Program 03: Razvoj i upravljanje sustavom vodoopskrbe, </t>
  </si>
  <si>
    <t>odvodnje i zaštite voda</t>
  </si>
  <si>
    <t>Program 04: Zaštita i uređenje okoliša</t>
  </si>
  <si>
    <t>Program 05: Veterinarska zaštita okoliša</t>
  </si>
  <si>
    <t>GLAVA 00204: Odgoj i obrazovanje</t>
  </si>
  <si>
    <t>Program 01: Predškolski odgoj</t>
  </si>
  <si>
    <t>Korisnik: Dječji vrtić "Košutica"</t>
  </si>
  <si>
    <t>Osnovnoj školi</t>
  </si>
  <si>
    <t>srednjih škola</t>
  </si>
  <si>
    <t>Aktivnost A002040203: Studentske stipendije</t>
  </si>
  <si>
    <t xml:space="preserve">GLAVA 00205: ORGANIZACIJA I PROVOĐENJE ZAŠTITE </t>
  </si>
  <si>
    <t>I SPAŠAVANJA</t>
  </si>
  <si>
    <t>Program 01: Protupožarna zaštita</t>
  </si>
  <si>
    <t>Program 02: Civilna zaštita</t>
  </si>
  <si>
    <t>GLAVA 00206: REKREACIJA, KULTURA, RELIGIJA</t>
  </si>
  <si>
    <t>Program 01: Program javnih potreba u sportu</t>
  </si>
  <si>
    <t>sportskih udruga</t>
  </si>
  <si>
    <t>Program 02: Program javnih potreba u kulturi</t>
  </si>
  <si>
    <t>Program 01: Pomoć obiteljima i kućanstvima</t>
  </si>
  <si>
    <t>GLAVA 00207: ZDRAVSTVO I SOCIJALNA SKRB</t>
  </si>
  <si>
    <t>Aktivnost A002070101: Pomoć obiteljima</t>
  </si>
  <si>
    <t>Aktivnost A002070102: Pokloni djeci za blagdane</t>
  </si>
  <si>
    <t>Program 02: Humanitarna skrb kroz udruge građana</t>
  </si>
  <si>
    <t>Aktivnost A002070202: Sufinanciranje zdravstvenih usluga</t>
  </si>
  <si>
    <t>GLAVA 00208: POTICANJE RAZVOJA CIVIL. DRUŠTVA</t>
  </si>
  <si>
    <t>Program 01: Djelatnost udruga građana</t>
  </si>
  <si>
    <t xml:space="preserve">Rashodi za nabavu proizvedene dugotrajne imovine </t>
  </si>
  <si>
    <t xml:space="preserve">Aktivnost A002020101: Poticanje poljoprivredne proizvodnje </t>
  </si>
  <si>
    <t>Aktivnost A002020102: Subvencije u turizmu</t>
  </si>
  <si>
    <t>Aktivnost A002030104: Održavanje groblja</t>
  </si>
  <si>
    <t xml:space="preserve">Aktivnost A002030103: Održavanje građ. javne odvodnje oborinskih voda </t>
  </si>
  <si>
    <t>vodovoda odvodnje</t>
  </si>
  <si>
    <t>Aktivnost A002030401: Zaštita i uređenje okoliša</t>
  </si>
  <si>
    <t>Aktivnost A002030501: Veterinarske usluge</t>
  </si>
  <si>
    <t>Kapitalni projekt 002030701: Izgradnja i održavanje turist. infrastrukture</t>
  </si>
  <si>
    <t>Rashodi za dodatna ulaganja na nefinancijskoj imovini</t>
  </si>
  <si>
    <t>Financijski rashodi</t>
  </si>
  <si>
    <t>UKUPNO RASHODI I IZDACI</t>
  </si>
  <si>
    <t>01</t>
  </si>
  <si>
    <t>Pomoći</t>
  </si>
  <si>
    <t>Prihod za posebne namjene</t>
  </si>
  <si>
    <t>Izvršenje do 10.10.21.</t>
  </si>
  <si>
    <t>PRIHODI OD POREZA</t>
  </si>
  <si>
    <t>Porez na dohodak</t>
  </si>
  <si>
    <t xml:space="preserve">ISPLATA GOD.OBRAČUN POREZA </t>
  </si>
  <si>
    <t>Porez na korištenje javnih površina</t>
  </si>
  <si>
    <t>Porez na promet nekretnina</t>
  </si>
  <si>
    <t xml:space="preserve">POMOĆI IZ INOZEMSTVA I OD SUBJEKATA </t>
  </si>
  <si>
    <t xml:space="preserve">          UNUTAR OPĆEG PRORAČUNA</t>
  </si>
  <si>
    <t>mala škola</t>
  </si>
  <si>
    <t>Pomoći iz DP-turist.infrastruktura</t>
  </si>
  <si>
    <t>Potpore zavoda za zapošljavanje</t>
  </si>
  <si>
    <t>Porez na dohodak-JVP</t>
  </si>
  <si>
    <t>PRIHODI OD IMOVINE</t>
  </si>
  <si>
    <t>Naknada za koncesiju - dimnjačarske usluge</t>
  </si>
  <si>
    <t>Naknada za koncesiju-INA</t>
  </si>
  <si>
    <t>Prihodi od zakupa i iznajmljivanja imovine</t>
  </si>
  <si>
    <t>Prihod od prenamjene poljoprivrednog zemljišta</t>
  </si>
  <si>
    <t>Prihod od spomeničke rente</t>
  </si>
  <si>
    <t>Naknada za eksploataciju mineralnih sirovina</t>
  </si>
  <si>
    <t>Prihod uslužnosti prava puta od infrastr.operatera</t>
  </si>
  <si>
    <t>Prihodi od grobne naknade</t>
  </si>
  <si>
    <t>Vodni doprinos</t>
  </si>
  <si>
    <t>Šumski doprinos</t>
  </si>
  <si>
    <t>Prihodi od uplate roditelja za DV</t>
  </si>
  <si>
    <t>Komunalni doprinos</t>
  </si>
  <si>
    <t>Komunalne naknade</t>
  </si>
  <si>
    <t>PRIHODI OD PRODAJE PROIZVED. IMOVINE</t>
  </si>
  <si>
    <t>Stambeni objekti</t>
  </si>
  <si>
    <t>RASHODI ZA ZAPOSLENE</t>
  </si>
  <si>
    <t>PLAĆE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</si>
  <si>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</si>
  <si>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</si>
  <si>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</si>
  <si>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</si>
  <si>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</si>
  <si>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</si>
  <si>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RASHODI</t>
  </si>
  <si>
    <t>OSTALI FINANCIJSKI RASHODI</t>
  </si>
  <si>
    <t>SUBVENCIJE</t>
  </si>
  <si>
    <t xml:space="preserve">POMOĆI UNUTAR OPĆEG PRORAČUNA </t>
  </si>
  <si>
    <t>NAKNADE GRAĐANIMA I KUĆANSTVIMA</t>
  </si>
  <si>
    <t>OSTALE NAKNADE GRAĐANIMA I KUĆANSTVIMA</t>
  </si>
  <si>
    <t>DONACIJE I OSTALI RASHODI</t>
  </si>
  <si>
    <t>TEKUĆE DONACIJE</t>
  </si>
  <si>
    <t>GRAĐEVINSKI OBJEKTI</t>
  </si>
  <si>
    <t>POSTROJENJA I OPREMA</t>
  </si>
  <si>
    <t>NEMATERIJALNA PROIZVEDENA IMOVINA</t>
  </si>
  <si>
    <t>GLAVA 00101: PREDSTAVNIČKA I IZVRŠNA TIJELA</t>
  </si>
  <si>
    <t xml:space="preserve">Aktivnost A001010101: Općinski načelnik </t>
  </si>
  <si>
    <t>BRUTO PLAĆA</t>
  </si>
  <si>
    <t>Doprinosi za zdravstveno osiguranje</t>
  </si>
  <si>
    <t>Službena putovanja</t>
  </si>
  <si>
    <t>OSTALI NESPOMENUTI RASHODI POSLOVANJA</t>
  </si>
  <si>
    <t>Reprezentacija</t>
  </si>
  <si>
    <t>OSTALI RASHODI</t>
  </si>
  <si>
    <t xml:space="preserve">Tekuće donacije </t>
  </si>
  <si>
    <t>Tekuća zaliha</t>
  </si>
  <si>
    <t>Aktivnost A001010102: Općinsko vijeće i radna tijela Općinskog vijeća</t>
  </si>
  <si>
    <t xml:space="preserve">RASHODI POSLOVANJA </t>
  </si>
  <si>
    <t>OSTALI NESPOMENUTI RASHODI POSLOV.</t>
  </si>
  <si>
    <t>Naknade članovima Op.vijeća i Povjerenstava</t>
  </si>
  <si>
    <t>Savjet potrošača-naknade</t>
  </si>
  <si>
    <t>Tekuće donacije u novcu (savjet mladih)</t>
  </si>
  <si>
    <t>Tekuće donacije u novcu (stranke)</t>
  </si>
  <si>
    <t>GLAVA 00201: JEDINSTVENI UPRAVNI ODJEL</t>
  </si>
  <si>
    <t>Program 01: Opći, upravni i financijsko računovod. poslovi</t>
  </si>
  <si>
    <t>Aktivnost A002010101: Redovni rad Jedinstvenog upravnog</t>
  </si>
  <si>
    <t>odjela</t>
  </si>
  <si>
    <t>BRUTO PLAĆE</t>
  </si>
  <si>
    <t>Ostali rashodi za zaposlene (regres, božićnice)</t>
  </si>
  <si>
    <t>Naknada za prijevoz na posao i s posla</t>
  </si>
  <si>
    <t>Stručno usavršavanje</t>
  </si>
  <si>
    <t>Uredski materijal</t>
  </si>
  <si>
    <t>Materijal i sred. za čišćenje</t>
  </si>
  <si>
    <t>Ostali materijal</t>
  </si>
  <si>
    <t>Električna energija</t>
  </si>
  <si>
    <t xml:space="preserve">Potrošnja plina </t>
  </si>
  <si>
    <t>Sitan inventar</t>
  </si>
  <si>
    <t>Radna i zaštitna odjeća i obuća</t>
  </si>
  <si>
    <t>Usluge telefona</t>
  </si>
  <si>
    <t>Poštanske marke i poštarina</t>
  </si>
  <si>
    <t>usluge prijevoza</t>
  </si>
  <si>
    <t>Izdaci reklamiranja i objave oglasa</t>
  </si>
  <si>
    <t>Slivna vodna naknada</t>
  </si>
  <si>
    <t>Najam opreme (fotokop.aparat)</t>
  </si>
  <si>
    <t>Ugovori o djelu - bruto</t>
  </si>
  <si>
    <t xml:space="preserve">Usluge odvjetnika </t>
  </si>
  <si>
    <t>Geodetske usluge</t>
  </si>
  <si>
    <t>Konzultantske usluge</t>
  </si>
  <si>
    <t>Računalne usluge i antivirusni programi</t>
  </si>
  <si>
    <t>Grafičke i tiskarske usluge,izrada fotografija</t>
  </si>
  <si>
    <t>Usluge bibliobusa</t>
  </si>
  <si>
    <t>Usluga slanja e-računa</t>
  </si>
  <si>
    <t>Troškovi prijevoza pokojnika</t>
  </si>
  <si>
    <t xml:space="preserve">Zaštita na radu </t>
  </si>
  <si>
    <t>DP-1% prihoda</t>
  </si>
  <si>
    <t>Opskrba vodom</t>
  </si>
  <si>
    <t>Ostale nespomenute usluge</t>
  </si>
  <si>
    <t>Reprezentacija - tekuća</t>
  </si>
  <si>
    <t>Članarine- Udruga Općina,LAG, TZ</t>
  </si>
  <si>
    <t xml:space="preserve">RASHODI ZA NABAVU NEFINANCIJSKE IMOVINE </t>
  </si>
  <si>
    <t>Sudske i javnobilježničke pristojbe</t>
  </si>
  <si>
    <t>Bankarske usluge i usluge platnog prometa</t>
  </si>
  <si>
    <t>Ostali nesp. fin. rashodi</t>
  </si>
  <si>
    <t xml:space="preserve">Kapitalni projekt 002030203: Sufinanciranje ŽUC </t>
  </si>
  <si>
    <t xml:space="preserve">POMOĆI DANE U INOZEMSTVO I UNUTAR OPĆEG PRORAČUNA </t>
  </si>
  <si>
    <t xml:space="preserve">Tekuće pomoći unutar općeg proračuna </t>
  </si>
  <si>
    <t>RASHODI ZA NABAVU PROIZVEDENE FINANCIJSKE IMOVINE</t>
  </si>
  <si>
    <t>Izrada projektne natječajne dokumentacije</t>
  </si>
  <si>
    <t>Uredska oprema i namještaj</t>
  </si>
  <si>
    <t>Nabava računalnih programa</t>
  </si>
  <si>
    <t xml:space="preserve">RASHODI ZA ZAPOSLENE </t>
  </si>
  <si>
    <t>Bruto plaće</t>
  </si>
  <si>
    <t>GLAVA 00202: POLJOPRIVREDA I PODUZETNIŠTVO</t>
  </si>
  <si>
    <t>SUBVENCIJE POLJOPRIVREDNICIMA</t>
  </si>
  <si>
    <t>Subvencije poljoprivrednicima</t>
  </si>
  <si>
    <t>POMOĆI UNUTAR OPĆEG PRORAČUNA</t>
  </si>
  <si>
    <t>Poljoprivredni redar</t>
  </si>
  <si>
    <t>SUBVENCIJE OBRTNICIMA I PODUZETNICIMA</t>
  </si>
  <si>
    <t xml:space="preserve">GLAVA 00203: PROSTORNO PLANIRANJE, UREĐENJE  </t>
  </si>
  <si>
    <t>I KOMUNALNE DJELATNOSTI</t>
  </si>
  <si>
    <t>Program 01: Program održavanja komunalne infrastrukture</t>
  </si>
  <si>
    <t>Funkcijska klasifikacija: 06 - Unaprjeđenje stanovanja i zajednice</t>
  </si>
  <si>
    <t>Usluge odvoza smeća s mjesnog groblja</t>
  </si>
  <si>
    <t xml:space="preserve">RASHODI ZA MATERIJAL I ENERGIJU </t>
  </si>
  <si>
    <t xml:space="preserve">RASHODI ZA USLUGE </t>
  </si>
  <si>
    <t>RASHODI ZA NABAVU PROIZVEDENE DUGOTRAJNE IMOVINE</t>
  </si>
  <si>
    <t>Usluge održavanja</t>
  </si>
  <si>
    <t>Aktivnost A002030102: Tekuće održavanje mreže javne rasvjete</t>
  </si>
  <si>
    <t>Utrošak el.energije</t>
  </si>
  <si>
    <t>Održavanje i modernizacija mreže javne rasvjete</t>
  </si>
  <si>
    <t xml:space="preserve">Kapitalni projekt 002030202: Rekonstrukcija sportskih </t>
  </si>
  <si>
    <t>i rekreacijskih prostora</t>
  </si>
  <si>
    <t>Kapitalni projekt 002030301: Izgradnja sekundarnog vodovoda</t>
  </si>
  <si>
    <t>odvodnje</t>
  </si>
  <si>
    <t>RASH. ZA NABAVU PROIZV. DUGOTR. IMOV.</t>
  </si>
  <si>
    <t>Aglomeracija</t>
  </si>
  <si>
    <t>Komunalni redar</t>
  </si>
  <si>
    <t xml:space="preserve">otpada </t>
  </si>
  <si>
    <t>Kapitalni projekt 002030403: Nabava opreme za zaštitu okoliša</t>
  </si>
  <si>
    <t>Stručni nadzor nad provođenjem deratizacije</t>
  </si>
  <si>
    <t xml:space="preserve">Pregled mesa na trihinelozu </t>
  </si>
  <si>
    <t>SUF. STERILIZACIJE PASA</t>
  </si>
  <si>
    <t xml:space="preserve">SUBVENCIJE </t>
  </si>
  <si>
    <t xml:space="preserve">SUBVENCIJE POLJOPRIVREDNICIMA </t>
  </si>
  <si>
    <t>RASHODI ZA NABAVU PROIZVEDENE DUGOTR. IMOVINE</t>
  </si>
  <si>
    <t>RASHODI ZA DODATNA ULAGANJA NA NEF.IMOVINI</t>
  </si>
  <si>
    <t xml:space="preserve">DODATNA ULAGANJA NA GRAĐ. OBJEKTIMA </t>
  </si>
  <si>
    <t>Ostale usluge tekućeg održavanja</t>
  </si>
  <si>
    <t>Program 07: Izgradnja i održav. turističke infrastrukture</t>
  </si>
  <si>
    <t>RASHODI ZA NABAVU PROIZV.DUGOTR.IMOVINE</t>
  </si>
  <si>
    <t>Izgradnja i održavanje turističke infrastrukture</t>
  </si>
  <si>
    <t xml:space="preserve">Materijal i dijelovi za tekuće održavanje </t>
  </si>
  <si>
    <t>objektima</t>
  </si>
  <si>
    <t>RASHODI ZA DODATNA ULAGANJA NA NEFIN.IMOVINI</t>
  </si>
  <si>
    <t>DODATNA ULAGANJA NA GRAĐEVINSKIM OBJEKTIMA</t>
  </si>
  <si>
    <t xml:space="preserve">GLAVA 00204: ODGOJ I OBRAZOVANJE </t>
  </si>
  <si>
    <t>Aktivnost A002040101: Redovni rad Dječjeg vrtića "Košutica"</t>
  </si>
  <si>
    <t>Bruto plaće za redovni rad</t>
  </si>
  <si>
    <t>Ostali rashodi za zaposlene (regres, božićnice,..)</t>
  </si>
  <si>
    <t>Naknade za prijevoz na posao i s posla</t>
  </si>
  <si>
    <t>Ostale naknade troškova zaposlenika</t>
  </si>
  <si>
    <t>Uredski materijal i ostali materijalni rashodi</t>
  </si>
  <si>
    <t>Materijal i sirovine</t>
  </si>
  <si>
    <t>SITNI- IGRAČKE</t>
  </si>
  <si>
    <t>RADNA ODJEĆA I OBUĆA</t>
  </si>
  <si>
    <t>Tekuće održavanje</t>
  </si>
  <si>
    <t>RAČUNALNE USLUGE</t>
  </si>
  <si>
    <t>OSTALI NESPOMENUTI RASH. POSLOVANJA</t>
  </si>
  <si>
    <t>Naknade za rad Upravnog vijeća</t>
  </si>
  <si>
    <t>OSTALE PRISTOJBE</t>
  </si>
  <si>
    <t>članarine</t>
  </si>
  <si>
    <t>RASHODI PROTOKOLA (VIJENCI, CVIJEĆE I SL)</t>
  </si>
  <si>
    <t>Ostali nespomenuti financijski rashodi</t>
  </si>
  <si>
    <t>RASHODI ZA NABAVU NEFINANCIJSKE IMOV.</t>
  </si>
  <si>
    <t>Aktivnost A002040201: Unaprjeđenje nastave u Osnovnoj školi</t>
  </si>
  <si>
    <t>Aktivnost A002040202: Novčana pomoć učenicima srednjih škola</t>
  </si>
  <si>
    <t>Sufinanciranje prijevoza učenika</t>
  </si>
  <si>
    <t>Stipendije studentima</t>
  </si>
  <si>
    <t>GLAVA 00205: ORGANIZACIJA I PROVOĐENJE ZAŠTITE I SPAŠAVANJA</t>
  </si>
  <si>
    <t>Aktivnost A002050101: Sufinanciranje rada vatrogasnih društava, zajednica i postrojbi</t>
  </si>
  <si>
    <t>Pomoći gradskom proračunu-JVP</t>
  </si>
  <si>
    <t>TEKUĆE DONACIJE - vatrogastvo</t>
  </si>
  <si>
    <t xml:space="preserve">udruga zaštite pomoći i spašavanja </t>
  </si>
  <si>
    <t>Donacija - HGSS</t>
  </si>
  <si>
    <t>Aktivnost A002060101: Sufinanciranje programa sportskih udruga</t>
  </si>
  <si>
    <t>TEKUĆE DONACIJE - sportske udruge</t>
  </si>
  <si>
    <t>Aktivnost A002060103: Sufinanc. župe i žup.ureda</t>
  </si>
  <si>
    <t xml:space="preserve">TEKUĆE DONACIJE-župa </t>
  </si>
  <si>
    <t>Sufinanciranje stanovanja</t>
  </si>
  <si>
    <t>Ostale naknade građanima i kućanstvima</t>
  </si>
  <si>
    <t xml:space="preserve">Pomoć umirovljenicima </t>
  </si>
  <si>
    <t>Porodiljne naknade</t>
  </si>
  <si>
    <t>Pomoć mladim obiteljima-stambeno zbrinjavanje</t>
  </si>
  <si>
    <t>Sufinanciranje školske opreme (OŠ)</t>
  </si>
  <si>
    <t>Sufinanciranje poštanskih usluga</t>
  </si>
  <si>
    <t>Pokloni djeci za blagdane</t>
  </si>
  <si>
    <t>Plaće za za poslene žene</t>
  </si>
  <si>
    <t>Doprinos za zdravstveno osiguranje</t>
  </si>
  <si>
    <t xml:space="preserve">NAKNADE TROŠKOVA ZAPOSLENIMA </t>
  </si>
  <si>
    <t xml:space="preserve">Naknada za korištenje privat automobila u službene svrhe </t>
  </si>
  <si>
    <t>Aktivnost A002070201:Sufinanciranje udruga i društava</t>
  </si>
  <si>
    <t>Sufinanciranje rada Crvenog križa</t>
  </si>
  <si>
    <t>Akcija Solidarnost na djelu</t>
  </si>
  <si>
    <t>Tekuće donacije - liječnik</t>
  </si>
  <si>
    <t xml:space="preserve">GLAVA 00208: POTICANJE RAZVOJA CIVILNOG DRUŠTVA </t>
  </si>
  <si>
    <t>Tekuće donacije udrugama</t>
  </si>
  <si>
    <t>Pričuva Mirogojska</t>
  </si>
  <si>
    <t xml:space="preserve">Električna energija  i plin </t>
  </si>
  <si>
    <t xml:space="preserve">Mat. Tekuće održavanje objekata i opreme </t>
  </si>
  <si>
    <t xml:space="preserve">Intelektualne usluge, ugovor o djelu </t>
  </si>
  <si>
    <t>Ostale usluge (kopiranje, tisak)</t>
  </si>
  <si>
    <t>Kamata</t>
  </si>
  <si>
    <t>bruto plaća načelnika</t>
  </si>
  <si>
    <t>bruto plaće</t>
  </si>
  <si>
    <t>ošasna i mi</t>
  </si>
  <si>
    <t xml:space="preserve">Pristojbe i naknade ivanec </t>
  </si>
  <si>
    <t xml:space="preserve">Procjena prodaje ošasne imovine </t>
  </si>
  <si>
    <t xml:space="preserve">Materijal </t>
  </si>
  <si>
    <t xml:space="preserve">Ostali izdaci vezani uz zaštitu okoliša kazna </t>
  </si>
  <si>
    <t xml:space="preserve">Deratizacija, dezinsekcija, dezinfekcija (der 24, kom </t>
  </si>
  <si>
    <t>Kapitalni projekt 002030213: Izgradnja spremišta za komunalnu opremu</t>
  </si>
  <si>
    <t>Ostali građevinski objekti</t>
  </si>
  <si>
    <t>Mat.za hig. potrebe</t>
  </si>
  <si>
    <t>Monitoring</t>
  </si>
  <si>
    <t>kalinovac</t>
  </si>
  <si>
    <t>Rušenje starih objekata-kuća</t>
  </si>
  <si>
    <t>Dogadnja staza</t>
  </si>
  <si>
    <t>Tekuće donacije - dom zdravlja</t>
  </si>
  <si>
    <t>SVEUKUPNO PRIHODI I PRIMICI</t>
  </si>
  <si>
    <t xml:space="preserve"> Proračun 2023. godine €</t>
  </si>
  <si>
    <t xml:space="preserve"> Proračun 2024. godine €</t>
  </si>
  <si>
    <t>EUR</t>
  </si>
  <si>
    <t>Projekcija proračuna
za 2026.</t>
  </si>
  <si>
    <t xml:space="preserve">C) PRENESENI VIŠAK ILI PRENESENI MANJAK </t>
  </si>
  <si>
    <t>8 PRIMICI OD FINANCIJSKE IMOVINE I ZADUŽIVANJA</t>
  </si>
  <si>
    <t>5 IZDACI ZA FINANCIJSKU IMOVINU I OTPLATE ZAJMOVA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</si>
  <si>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</si>
  <si>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</si>
  <si>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</si>
  <si>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</si>
  <si>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</si>
  <si>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</si>
  <si>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</si>
  <si>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>PRIHODI POSLOVANJA PREMA IZVORIMA FINANCIRANJA</t>
  </si>
  <si>
    <t>RASHODI POSLOVANJA PREMA IZVORIMA FINANCIRANJA</t>
  </si>
  <si>
    <t>B. RAČUN FINANCIRANJA PREMA EKONOMSKOJ KLASIFIKACIJI</t>
  </si>
  <si>
    <t>B. RAČUN FINANCIRANJA PREMA IZVORIMA FINANCIRANJA</t>
  </si>
  <si>
    <t xml:space="preserve">011 Izvršna i zakonodavna tijela </t>
  </si>
  <si>
    <t>016 Opće usluge koje nisu drugdje svrstane</t>
  </si>
  <si>
    <t>042 Poljoprivreda, šumarstvo, ribarstvo i lov</t>
  </si>
  <si>
    <t>041 Opći, ekonomski, trgovački i poslovi vezani uz rad</t>
  </si>
  <si>
    <t>Aktivnost A002030101: Održavanje nerazvrstanih cesta</t>
  </si>
  <si>
    <t>Šodrenje, tek.održavanje cesta i mostova, krpanje, bitumenizacija</t>
  </si>
  <si>
    <t xml:space="preserve">Aktivnost: xxxxx Odražavanje čistoće javnih površina </t>
  </si>
  <si>
    <t>Aktivnost xxx nova: Održavanje građevina, uređaja i predmeta javne namjene</t>
  </si>
  <si>
    <t>Nabava spremnika za prikupljanje komunalnog otpada</t>
  </si>
  <si>
    <t>oprema za zaštitu okoliša (kamere)</t>
  </si>
  <si>
    <t xml:space="preserve">čipiranje </t>
  </si>
  <si>
    <t>Zbrinjavanje pasa</t>
  </si>
  <si>
    <t xml:space="preserve">Subvencije obrtnicima i poduzetnicima i fizičkim </t>
  </si>
  <si>
    <t>Program 06: Izgradnja i održavanje ostale infrastrukture</t>
  </si>
  <si>
    <t>Aktivnost nova xxx</t>
  </si>
  <si>
    <t>Aktivnost 002060201: Sufinanc. udruga u kulturi</t>
  </si>
  <si>
    <t xml:space="preserve">TEKUĆE DONACIJE </t>
  </si>
  <si>
    <t>TEKUĆE DONACIJE-kultura pjevaći, kud</t>
  </si>
  <si>
    <t>mladi</t>
  </si>
  <si>
    <t xml:space="preserve">branitelji </t>
  </si>
  <si>
    <t xml:space="preserve">Aktivnost A002080101: Sufinanciranje projekata i programa </t>
  </si>
  <si>
    <t>dravski dečki</t>
  </si>
  <si>
    <t>multipla skleroza</t>
  </si>
  <si>
    <t>slepi</t>
  </si>
  <si>
    <t>umirovljenici</t>
  </si>
  <si>
    <t>udruga žena</t>
  </si>
  <si>
    <t>udruga informatičara</t>
  </si>
  <si>
    <t>bratovština</t>
  </si>
  <si>
    <t>Program 03: Prog.sufinanc. vjerskih zajednica</t>
  </si>
  <si>
    <t xml:space="preserve">Program 03: Primarna zdravstvena zaštita </t>
  </si>
  <si>
    <t>Program xx broj: Razvoj i sigurnost prometa</t>
  </si>
  <si>
    <t>Program 02: Osnovno i srednjoškolsko obrazovanje</t>
  </si>
  <si>
    <t>Program 04: Visoko obrazovanje</t>
  </si>
  <si>
    <t>Program 1000: Predstavnička i izvršna vlast</t>
  </si>
  <si>
    <t>Program 1002: Opći, upravni i financ. računovod. poslovi</t>
  </si>
  <si>
    <t xml:space="preserve">Funkcijska klasifikacija 011 Izvršna i zakonodavna tijela </t>
  </si>
  <si>
    <t xml:space="preserve">Funkcijska klasifikacija 016 Opće usluge koje nisu drugdje svrstane </t>
  </si>
  <si>
    <t>Program 1003: Razvoj i sigurnost prometa</t>
  </si>
  <si>
    <t xml:space="preserve">Program 1004: Zapošljavanje osoba na javnim radovima </t>
  </si>
  <si>
    <t>Program 1005: Unaprjeđenje poljoprivrede</t>
  </si>
  <si>
    <t>Program 1006: Unaprjeđenje razvoja turizma</t>
  </si>
  <si>
    <t>Program 1008: Građenje komunalne infrastrukture</t>
  </si>
  <si>
    <t xml:space="preserve">Program 1009: Razvoj i upravljanje sustavom vodoopskrbe, </t>
  </si>
  <si>
    <t>Program 1010: Zaštita i uređenje okoliša</t>
  </si>
  <si>
    <t>Program 1011: Veterinarska zaštita okoliša</t>
  </si>
  <si>
    <t>Program 1012: Izgradnja i održav. ostale infrastrukture</t>
  </si>
  <si>
    <t>Program 1013: Izgradnja i održavanje turističke infrastrukt.</t>
  </si>
  <si>
    <t>Program 1014: Predškolski odgoj</t>
  </si>
  <si>
    <t>Program 1015: Osnovnoškolsko obrazovanje</t>
  </si>
  <si>
    <t>Program 1016: Srednjoškolsko obrazovanje</t>
  </si>
  <si>
    <t>Program 1017: Visoko obrazovanje</t>
  </si>
  <si>
    <t>Program 1018: Protupožarna zaštita</t>
  </si>
  <si>
    <t>Program 1019: Civilna zaštita</t>
  </si>
  <si>
    <t>Program 1020: Javne potrebe u sportu</t>
  </si>
  <si>
    <t>Program 1021: Javne potrebe u kulturi</t>
  </si>
  <si>
    <t>Program 1023: Pomoć obiteljima i kućanstvima</t>
  </si>
  <si>
    <t>Program 1024: Humanitarna skrb kroz udruge građana</t>
  </si>
  <si>
    <t>Program 1025: Primarna zdravstvena zaštita</t>
  </si>
  <si>
    <t>Program 1026: Djelatnost udruga građana</t>
  </si>
  <si>
    <t>Funkcijska klasifikacija 045 Cestovni promet</t>
  </si>
  <si>
    <t>Funkcijska klasifikacija 062 Razvoj zajednice</t>
  </si>
  <si>
    <t>Funkcijska klasifikacija 105 nezaposlenost</t>
  </si>
  <si>
    <t>Funkcijska klasifikacija 042 Poljoprivreda, šumarstvo, ribarstvo i lov</t>
  </si>
  <si>
    <t>Funkcijska klasifikacija 041 Opći, ekonomski, trgovački i poslovi vezani uz rad</t>
  </si>
  <si>
    <t>Funkcijska klasifikacija 064 Ulična rasvjeta</t>
  </si>
  <si>
    <t>Funkcijska klasifikacija 062  Razvoj zajednice</t>
  </si>
  <si>
    <t>Funkcijska klasifikacija 063 Opskrba vodom</t>
  </si>
  <si>
    <t>Funkcijska klasifikacija 056 poslovi i usluge zaštite okoliša koji nisu drugdje svrstani</t>
  </si>
  <si>
    <t>Funkcijska klasifikacija 051 Gospodarenje otpadom</t>
  </si>
  <si>
    <t>Funkcijska klasifikacija 056 Poslovi i usluge zaštite okoliša koji nisu drugdje svrstani</t>
  </si>
  <si>
    <t>Funkcijska klasifikacija 066 Rashodi vezani za stanovanje i kom. pogodnosti koji nisu drugdje svrstani</t>
  </si>
  <si>
    <t xml:space="preserve">Funkcijska klasifikacija 091 Predškolsko obrazovanje </t>
  </si>
  <si>
    <t xml:space="preserve">Funkcijska klasifikacija 092 Osnovnoškolsko obrazovanje </t>
  </si>
  <si>
    <t xml:space="preserve">Funkcijska klasifikacija 093 Srednjškolsko obrazovanje </t>
  </si>
  <si>
    <t>Funkcijska klasifikacija 094 Visoka naobrazba</t>
  </si>
  <si>
    <t>Funkcijska klasifikacija 032 Usluge protupožarne zaštite</t>
  </si>
  <si>
    <t>Funkcijska klasifikacija 022 Civilna obrana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</si>
  <si>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</si>
  <si>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</si>
  <si>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</si>
  <si>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104 Obitelj i djeca</t>
  </si>
  <si>
    <t>Funkcijska klasifikacija 102 Starost</t>
  </si>
  <si>
    <t>Funkcijska klasifikacija 107 Socijalna pomoć stanovništvu koje nije obuhvaćeno redovnim socijalnim programima</t>
  </si>
  <si>
    <t>Funkcijska klasifikacija 072 Službe za vanjske pacijente</t>
  </si>
  <si>
    <t>Funkcijska klasifikacija 086 Rashodi za rekreaciju, kulturu i religiju koji nisu drugdje svrstani</t>
  </si>
  <si>
    <t>Fotonaponske proizvodnja el.en.</t>
  </si>
  <si>
    <t>usluge vaganja i prijevoza skelom</t>
  </si>
  <si>
    <t>Plan 2024</t>
  </si>
  <si>
    <t xml:space="preserve">ostale usluge tekućeg održavanja i ošasna </t>
  </si>
  <si>
    <t xml:space="preserve">Naknade za prijevoz na posao </t>
  </si>
  <si>
    <t>OBILJEŽAVANJE PARKINGA</t>
  </si>
  <si>
    <t xml:space="preserve">Kapitalni projekt : Rekonstrukcija i dodatna ulaganja na građevinskim </t>
  </si>
  <si>
    <t>Naknade građanima u naturi</t>
  </si>
  <si>
    <t>Mariška</t>
  </si>
  <si>
    <t xml:space="preserve">Civilna </t>
  </si>
  <si>
    <t xml:space="preserve">70eura </t>
  </si>
  <si>
    <t>regres300 €</t>
  </si>
  <si>
    <t>božićnica 300€  Marta jubilarka 199,00€ Vranić 332,00€</t>
  </si>
  <si>
    <t>Usluge telefona, pošte, prijevoza</t>
  </si>
  <si>
    <t xml:space="preserve">Komunalne usluge i opskrba vodom, deratizacija </t>
  </si>
  <si>
    <t>Zdravstvene usluge, analize voda hrana</t>
  </si>
  <si>
    <t>uredski namještaj</t>
  </si>
  <si>
    <t>oprema</t>
  </si>
  <si>
    <t>komarci</t>
  </si>
  <si>
    <t>ose</t>
  </si>
  <si>
    <t>štakori 2x</t>
  </si>
  <si>
    <t>200*12</t>
  </si>
  <si>
    <t>Aktivnost xxx nova: Održavanje javnih zelenih površina</t>
  </si>
  <si>
    <t>266*12</t>
  </si>
  <si>
    <t>Premije osiguranja imovine i fotonaponske, kombi traktor</t>
  </si>
  <si>
    <t xml:space="preserve">hrt pristojba </t>
  </si>
  <si>
    <t>5,57kn*22dana*11 meseci*mi 3</t>
  </si>
  <si>
    <t>HEL, JA, MEĐO</t>
  </si>
  <si>
    <t>HEL, JA, MEĐ, IVANA, VALE. ŠČUKA</t>
  </si>
  <si>
    <t>HEL</t>
  </si>
  <si>
    <t>JA</t>
  </si>
  <si>
    <t>IVANA</t>
  </si>
  <si>
    <t>IVICA</t>
  </si>
  <si>
    <t>MEĐO</t>
  </si>
  <si>
    <t>7 ŽENA NA 12 MESECI</t>
  </si>
  <si>
    <t>UKUPNI TROŠAK U PRIHODU</t>
  </si>
  <si>
    <t xml:space="preserve">Eu ceste </t>
  </si>
  <si>
    <t>vozila 700</t>
  </si>
  <si>
    <t>građevina i fotonaponska 2000</t>
  </si>
  <si>
    <t>usjevi 1000</t>
  </si>
  <si>
    <t>svinje 1000</t>
  </si>
  <si>
    <t>krave 18000</t>
  </si>
  <si>
    <t>eu 2018</t>
  </si>
  <si>
    <t>sabor 2020</t>
  </si>
  <si>
    <t>presjednički 2018</t>
  </si>
  <si>
    <t xml:space="preserve">Troškovi izbora </t>
  </si>
  <si>
    <t>DP-izbori</t>
  </si>
  <si>
    <t>Materijal za tek.odr.građevina (paviljon, park, spomenici, busna )</t>
  </si>
  <si>
    <t>usluge za tek.odr.građevina (paviljon, park, spomenici, busna )</t>
  </si>
  <si>
    <t xml:space="preserve">Aktivnost xxx nova: Održavanje građevinskih objekata u vlasništvu Općine </t>
  </si>
  <si>
    <t xml:space="preserve">Kapitalni projekt 002030601: Kapitalna i tekuća ulaganja u prijevozna </t>
  </si>
  <si>
    <t xml:space="preserve">sredstava riječnog prometa </t>
  </si>
  <si>
    <t xml:space="preserve">Održavanje prijevoznih sredstava, tehnički pregled kombi </t>
  </si>
  <si>
    <t>Mat.tek.odr.kombi</t>
  </si>
  <si>
    <t>Održavanje postrojenja i opreme u zgradama</t>
  </si>
  <si>
    <t xml:space="preserve">Gorivo i mazivo kombi </t>
  </si>
  <si>
    <t xml:space="preserve">               usluge košnje </t>
  </si>
  <si>
    <t xml:space="preserve">Komunalna oprema </t>
  </si>
  <si>
    <t xml:space="preserve">Aktivnost xx nova :održavanje zatvorenog i saniranog odlagališta </t>
  </si>
  <si>
    <t xml:space="preserve">Usluge izrade znakova, tabli </t>
  </si>
  <si>
    <t xml:space="preserve">Aktivnost    novo </t>
  </si>
  <si>
    <t>nadzor 2000</t>
  </si>
  <si>
    <t>uređenje zubne</t>
  </si>
  <si>
    <t>projekt 1000</t>
  </si>
  <si>
    <t>nadzor 800</t>
  </si>
  <si>
    <t>košnja bankina   3000</t>
  </si>
  <si>
    <t>greder  3000</t>
  </si>
  <si>
    <t xml:space="preserve">helena </t>
  </si>
  <si>
    <t xml:space="preserve">helena naziv projekta </t>
  </si>
  <si>
    <t xml:space="preserve">Poboljšanje standarda i školske aktivnosti OŠ Ferdinandovac i </t>
  </si>
  <si>
    <t>pjevaći 2000</t>
  </si>
  <si>
    <t>hkud 2000</t>
  </si>
  <si>
    <t>dodatna ulaganja na skeli</t>
  </si>
  <si>
    <t>MATERIJALNI RAHODI</t>
  </si>
  <si>
    <t>Izrada plana</t>
  </si>
  <si>
    <t>Održavanje javnih površina (septičke, kontejneri)</t>
  </si>
  <si>
    <t>ukras vodenica</t>
  </si>
  <si>
    <t>Donacije</t>
  </si>
  <si>
    <t xml:space="preserve">      323 usluge </t>
  </si>
  <si>
    <t xml:space="preserve">       322 materijal (dr.dom, vrtić, zgrada općine, Brodić, Pavlanci)</t>
  </si>
  <si>
    <t xml:space="preserve">      323 drveće- cimprese sadnja </t>
  </si>
  <si>
    <t xml:space="preserve">     3224      usluge za održavanje postrojenja i opreme</t>
  </si>
  <si>
    <t xml:space="preserve">     3224      usluge održavanja traktora</t>
  </si>
  <si>
    <t xml:space="preserve">     3224      usluga rušenja, orezivanja i sadnje drveća</t>
  </si>
  <si>
    <t xml:space="preserve">     3223       gorivo i mazivo</t>
  </si>
  <si>
    <t xml:space="preserve">     3224      materijal za održavanje postrojenja i opreme</t>
  </si>
  <si>
    <t xml:space="preserve">     3224     materijal za traktor </t>
  </si>
  <si>
    <t xml:space="preserve">      322     cveće i drveće</t>
  </si>
  <si>
    <t xml:space="preserve">     3232     zimska služba</t>
  </si>
  <si>
    <t xml:space="preserve">        32  MATERIJALNI RASHODI</t>
  </si>
  <si>
    <t xml:space="preserve">      323 RASHODI ZA USLUGE</t>
  </si>
  <si>
    <t>Aktivnost  xxxxxx SECAP i strategija zelene urbane obnove</t>
  </si>
  <si>
    <t xml:space="preserve">KP novo Izgradnja dijela nerazvrstane cste, naselje Brodić NC 24 </t>
  </si>
  <si>
    <t xml:space="preserve">Kapitalni projekt Brižne ruke Podravske </t>
  </si>
  <si>
    <t>Prihod od zakupa poljop.zemljišta</t>
  </si>
  <si>
    <t>Članak 1.</t>
  </si>
  <si>
    <t>Članak 2.</t>
  </si>
  <si>
    <t>UKUPNO PRIHODI</t>
  </si>
  <si>
    <t>UKUPNO RASHODI</t>
  </si>
  <si>
    <t>C. PRENESENI VIŠAK ILI PRENESENI MANJAK</t>
  </si>
  <si>
    <t>UKUPAN DONOS VIŠKA/MANJKA IZ</t>
  </si>
  <si>
    <t>2025.</t>
  </si>
  <si>
    <t>2026.</t>
  </si>
  <si>
    <t>Vlastiti izvori</t>
  </si>
  <si>
    <t>Rezultat poslovanja</t>
  </si>
  <si>
    <t>Članak 3.</t>
  </si>
  <si>
    <t>i ekonomskoj klasifikaciji po izvorima financiranja kako slijedi:</t>
  </si>
  <si>
    <t>Članak 4.</t>
  </si>
  <si>
    <t>ZAVRŠNA ODREDBA</t>
  </si>
  <si>
    <t>Članak 5.</t>
  </si>
  <si>
    <t xml:space="preserve">Proračun će se objaviti u "Službenom glasniku Koprivničko-križevačke županije", a stupa na snagu 1. siječnja </t>
  </si>
  <si>
    <t>Kazne, upravne mjere i ostali prihodi</t>
  </si>
  <si>
    <t>PRETHODNE(IH) GODINE</t>
  </si>
  <si>
    <t>Program 1022: Sufinanciranje vjerskih zajednica</t>
  </si>
  <si>
    <t xml:space="preserve">Funkcijska klasifikacija 093 Srednjoškolsko obrazovanje </t>
  </si>
  <si>
    <t xml:space="preserve">Aktivnost A100002 Općinsko vijeće i radna tijela Općinskog vijeća </t>
  </si>
  <si>
    <t>Aktivnost A100201 Redovni rad Jedinstvenog upravnog odjela</t>
  </si>
  <si>
    <t xml:space="preserve">Aktivnost A100203 - Izrada dokumentacije </t>
  </si>
  <si>
    <t>Aktivnost A100205 Nabava opreme i namještaja</t>
  </si>
  <si>
    <t xml:space="preserve">Kapitalni projekt KP100301 Sufinanciranje ŽUC </t>
  </si>
  <si>
    <t xml:space="preserve">Aktivnost A100401 Redovni rad osoba na javnim radovima </t>
  </si>
  <si>
    <t xml:space="preserve">Aktivnost A100501 Poticanje poljoprivredne proizvodnje </t>
  </si>
  <si>
    <t>Aktivnost A100601 Subvencije u turizmu</t>
  </si>
  <si>
    <t>Program 1007: Održavanje komunalne infrastrukture</t>
  </si>
  <si>
    <t>Aktivnost A100701 Održavanje  nerazvrstanih</t>
  </si>
  <si>
    <t>cesta</t>
  </si>
  <si>
    <t>Aktivnost A100702 Održavanje čistoće javnih površina</t>
  </si>
  <si>
    <t xml:space="preserve">Aktivnost A100703 Održavanje javnih zelenih površina </t>
  </si>
  <si>
    <t>Aktivnost A100704 Održavanje građevina, uređaja i predmeta javne namjene</t>
  </si>
  <si>
    <t>Aktivnost A100705 Održavanje groblja</t>
  </si>
  <si>
    <t xml:space="preserve">Aktivnost A100706 Održavanje građevina javne odvodnje oborinskih voda </t>
  </si>
  <si>
    <t xml:space="preserve">Aktivnost A100707 Tekuće održavanje mreže javne rasvjete </t>
  </si>
  <si>
    <t>Kapitalni projekt  KP100804 Uređenje križanja ulice Trg slobode i P. Preradovića izradom horizontalnog usporivača</t>
  </si>
  <si>
    <t>Kapitalni projekt KP100805 Izgradnja dijela nerazvrstane ceste, naselje Brodić NC 24</t>
  </si>
  <si>
    <t xml:space="preserve">Kapitalni projekt KP100807 Rekonstrukcija i gradnja nerazvrstanih cesta </t>
  </si>
  <si>
    <t>Kapitalni projekt KP100901 Izgradnja sekundarnog</t>
  </si>
  <si>
    <t>Aktivnost A101001 Zaštita i uređenje okoliša</t>
  </si>
  <si>
    <t>Aktivnost A101002 Održavanje zatvorenog i saniranog odlagališta otpada Orl</t>
  </si>
  <si>
    <t>Kapitalni projekt KP101003 Nabava opreme za zaštitu okoliša</t>
  </si>
  <si>
    <t>Aktivnost A101101 Veterinarske usluge</t>
  </si>
  <si>
    <t xml:space="preserve">Kapitalni projekt KP101201 Izgradnja spremišta komunalne opreme </t>
  </si>
  <si>
    <t>Aktivnost A101202 Kapitalna i tekuća ulaganja u prijevozna sredstva u riječnom prometu</t>
  </si>
  <si>
    <t>Kapitalni projekt KP101205 Rekonstrukcija i dodatna ulaganja na građevinskim objektima</t>
  </si>
  <si>
    <t>Kapitalni projekt KP101301 Izgradnja i održavanje turističke infrastrukture</t>
  </si>
  <si>
    <t>Aktivnost A101401 Redovni rad DV "Košutica"</t>
  </si>
  <si>
    <t xml:space="preserve">Aktivnost A101501 Unaprjeđenje nastave u </t>
  </si>
  <si>
    <t>Aktivnost A101502 Sufinanciranje nabave školske opreme</t>
  </si>
  <si>
    <t xml:space="preserve">Aktivnost A101601 Novčana pomoć  učenicima </t>
  </si>
  <si>
    <t>Aktivnost A101701 Studentske stipendije</t>
  </si>
  <si>
    <t>Aktivnost A101801 Sufinanciranje rada vatrogasnih zajednica i postrojbi</t>
  </si>
  <si>
    <t>Aktivnost A101901 Sufinanciranje rada civilne zaštite i HGSS-a</t>
  </si>
  <si>
    <t xml:space="preserve">Aktivnost A102001 Sufinanciranje programa </t>
  </si>
  <si>
    <t xml:space="preserve">Aktivnost A102101 Sufinanciranje udruga u kulturi  </t>
  </si>
  <si>
    <t>Aktivnost A102201 Sufinanciranje župe i župnog ureda</t>
  </si>
  <si>
    <t>Aktivnost A102301 Pomoć obiteljima</t>
  </si>
  <si>
    <t>Aktivnost A102302 Pokloni djeci za blagdane</t>
  </si>
  <si>
    <t>Aktivnost A102303 Brižne ruke Podravske</t>
  </si>
  <si>
    <t>Aktivnost A102401 Sufinanciranje udruga i društava</t>
  </si>
  <si>
    <t>Aktivnost A102501 Sufinanciranje zdravstvenih usluga</t>
  </si>
  <si>
    <t>Aktivnost A102601 Sufinanciranje projekata</t>
  </si>
  <si>
    <t>Aktivnost A100204 SECAP i strategija urbane zelene površine</t>
  </si>
  <si>
    <t>045 Cestovni promet</t>
  </si>
  <si>
    <t>105 Nezaposlenost</t>
  </si>
  <si>
    <t>Funkcijska klasifikacija 105 Nezaposlenost</t>
  </si>
  <si>
    <t>062 Razvoj zajednice</t>
  </si>
  <si>
    <t>056 Poslovi i usluge zaštite okoliša koji nisu drugdje svrstani</t>
  </si>
  <si>
    <t>064 Ulična rasvjeta</t>
  </si>
  <si>
    <t>063 Opskrba vodom</t>
  </si>
  <si>
    <t>051 Gospodarenje otpadom</t>
  </si>
  <si>
    <t xml:space="preserve">066 Rashodi za stanovanje i kom. pogodnosti koji nisu drugdje svrstani </t>
  </si>
  <si>
    <t xml:space="preserve">032 Usluge protupožarne zaštite </t>
  </si>
  <si>
    <t>022 Civilna obrana</t>
  </si>
  <si>
    <t>081 Službe rekreacije i sporta</t>
  </si>
  <si>
    <t xml:space="preserve">082 Službe kulture </t>
  </si>
  <si>
    <t>084 Religijska i druge službe zajednice</t>
  </si>
  <si>
    <t xml:space="preserve">104 Obitelj i djeca </t>
  </si>
  <si>
    <t>102 Starost</t>
  </si>
  <si>
    <t xml:space="preserve">107 Socijalna pomoć stanovništvu koje nije obuhvaćeno redovnim socijalnim programima </t>
  </si>
  <si>
    <t xml:space="preserve">072 Službe za vanjske pacijente </t>
  </si>
  <si>
    <t xml:space="preserve">086 Rashodi za rekreaciju, kulturu i religiju koji nisu drugdje svrstani </t>
  </si>
  <si>
    <t>logoped</t>
  </si>
  <si>
    <t>PREDSJEDNIK</t>
  </si>
  <si>
    <t xml:space="preserve">Branko Patačko </t>
  </si>
  <si>
    <t>Demografija fiskalna održivost vrtića</t>
  </si>
  <si>
    <t>Kamate ovrhe</t>
  </si>
  <si>
    <t>OSTALI PRIHODI</t>
  </si>
  <si>
    <t xml:space="preserve">Ostali nespomenuti </t>
  </si>
  <si>
    <t xml:space="preserve">Izvršenje 2023. </t>
  </si>
  <si>
    <t xml:space="preserve">Plan 2024. </t>
  </si>
  <si>
    <t>Proračun za 2025.</t>
  </si>
  <si>
    <t>Projekcija proračuna
za 2027.</t>
  </si>
  <si>
    <t>Izvršenje 2023.</t>
  </si>
  <si>
    <t>Plan 2024.</t>
  </si>
  <si>
    <t>Brojčana oznaka i naziv</t>
  </si>
  <si>
    <t>IZVOR FINANCIRANJA: 01 Opći prihodi i primici</t>
  </si>
  <si>
    <t>1.1 Prihodi od poreza</t>
  </si>
  <si>
    <t>1.2 Prihodi od financijske imovine i kamata</t>
  </si>
  <si>
    <t xml:space="preserve">1.3 Prihodi od nefinancijske imovine </t>
  </si>
  <si>
    <t xml:space="preserve">1.4. Ostali prihodi </t>
  </si>
  <si>
    <t>IZVOR FINANCIRANJA: 02 Doprinosi</t>
  </si>
  <si>
    <t>IZVOR FINANCIRANJA: 03 Vlastiti prihodi</t>
  </si>
  <si>
    <t>3.1 Vlastiti prihodi proračunski korisnici</t>
  </si>
  <si>
    <t>3.2 Vlastiti prihodi od pruženih usluga</t>
  </si>
  <si>
    <t>IZVOR FINANCIRANJA: 04 Prihodi za posebne namjene</t>
  </si>
  <si>
    <t>4.1 Prihod od grobne naknade</t>
  </si>
  <si>
    <t>4.2 Prihod od komunalne naknade</t>
  </si>
  <si>
    <t>4.3 Prihod od šumskog doprinosa</t>
  </si>
  <si>
    <t>4.4 Prihodi od nefinancijske imovine - koncesije</t>
  </si>
  <si>
    <t>4.5 Prihodi vodnog gospodarstva</t>
  </si>
  <si>
    <t>IZVOR FINANCIRANJA: 05 Pomoći</t>
  </si>
  <si>
    <t>5.1 Pomoći temeljem prijenosa Eu sredstava</t>
  </si>
  <si>
    <t xml:space="preserve">5.2. Pomoći proračunu iz drugih proračuna </t>
  </si>
  <si>
    <t xml:space="preserve">IZVOR FINANCIRANJA: 06 Donacije </t>
  </si>
  <si>
    <t>IZVOR FINANCIRANJA: 07 Prihodi od prodaje ili zamjene</t>
  </si>
  <si>
    <t>nefinancijske imovine i naknade s naslova osiguranja</t>
  </si>
  <si>
    <t>IZVOR FINANCIRANJA: 08 Namjenski primici od zaduživanja</t>
  </si>
  <si>
    <t>IZVORI FINANCIRANJA: 01 Opći prihodi i primici</t>
  </si>
  <si>
    <t xml:space="preserve">RASHODI UKUPNO </t>
  </si>
  <si>
    <t xml:space="preserve">013 Opće usluge </t>
  </si>
  <si>
    <t xml:space="preserve">109 Aktivnosti socijalne zaštite koje nisu drugdje svrstane </t>
  </si>
  <si>
    <t>2027.</t>
  </si>
  <si>
    <t xml:space="preserve">U Računu prihoda i rashoda iskazani su prihodi poslovanja i prihodi od prodaje nefinancijske imovine te rashodi poslovanja i rashodi za nabavu nefinancijske imovine prema ekonomskoj klasifikaciji </t>
  </si>
  <si>
    <t xml:space="preserve">kako slijedi: </t>
  </si>
  <si>
    <t>izvorima financiranja kako slijedi:</t>
  </si>
  <si>
    <t>Članak 6.</t>
  </si>
  <si>
    <t>Članak 7.</t>
  </si>
  <si>
    <t>Članak 8.</t>
  </si>
  <si>
    <t>Članak 9.</t>
  </si>
  <si>
    <t>Članak 10.</t>
  </si>
  <si>
    <t>Izvršenje do 10.06.</t>
  </si>
  <si>
    <t>Povećanje / Smanjenje</t>
  </si>
  <si>
    <t>II izmjene za 2023. godinu</t>
  </si>
  <si>
    <t>Plan 2024 1. izmjene</t>
  </si>
  <si>
    <t>Izvršenje do 17.09.</t>
  </si>
  <si>
    <t>Povećanje/smanjenje</t>
  </si>
  <si>
    <t xml:space="preserve">30.000,00 mjesečno </t>
  </si>
  <si>
    <t>Porez na potrošnju</t>
  </si>
  <si>
    <t>Tekuće pomoći iz državnog proračuna-komp. Mjera</t>
  </si>
  <si>
    <t xml:space="preserve">skela tehnički pregled, osiguranja </t>
  </si>
  <si>
    <t>Pomoći iz DP min znanosti -za Dječji vrtić</t>
  </si>
  <si>
    <t>MJESEČNO CCA 6960 DOBIMO</t>
  </si>
  <si>
    <t>Kapitalne pomoći iz ŽP-(ceste i drugi projekti)</t>
  </si>
  <si>
    <t xml:space="preserve">žuc pješačka staza </t>
  </si>
  <si>
    <t>DP (MIN.)-staza Dravska</t>
  </si>
  <si>
    <t>Zaželi 4</t>
  </si>
  <si>
    <t>7 NA 12 MESECI i helena 10%</t>
  </si>
  <si>
    <t xml:space="preserve">Kapitalne pomoći eu aglomeracija </t>
  </si>
  <si>
    <t>Kap. Pomoć EU rea fotonap.</t>
  </si>
  <si>
    <t xml:space="preserve">PRIHODI OD UPRAVNIH I ADMINISTRATIVNIH </t>
  </si>
  <si>
    <t xml:space="preserve">PRISTOJBI, POSEBNIM PROPISIMA I NAKNADA </t>
  </si>
  <si>
    <t>Ostale pristojbe grobno mjesto</t>
  </si>
  <si>
    <t>Novi plan 2. izmjene 2024</t>
  </si>
  <si>
    <t>Plan prihoda 2025</t>
  </si>
  <si>
    <t>raskid šantić</t>
  </si>
  <si>
    <t>plan 2025</t>
  </si>
  <si>
    <t xml:space="preserve">700 godišnje </t>
  </si>
  <si>
    <t>350 REGRES 350 BOŽIĆNICA</t>
  </si>
  <si>
    <t xml:space="preserve">DP rad voditelja tamburaša </t>
  </si>
  <si>
    <t>zdr</t>
  </si>
  <si>
    <t xml:space="preserve">prevoz </t>
  </si>
  <si>
    <t>bruto</t>
  </si>
  <si>
    <t>1 na 6 mjeseci</t>
  </si>
  <si>
    <t xml:space="preserve">zbroj po kontima </t>
  </si>
  <si>
    <t xml:space="preserve">Aktivnost A001020101: izbori predsjednički  2 krug </t>
  </si>
  <si>
    <t xml:space="preserve">1 na 6  j </t>
  </si>
  <si>
    <t>rgres i bpož</t>
  </si>
  <si>
    <t>hel</t>
  </si>
  <si>
    <t xml:space="preserve">ugovor voditelj tamburaša </t>
  </si>
  <si>
    <t xml:space="preserve">Program Društvene manifestacije i promoviranje općine </t>
  </si>
  <si>
    <t xml:space="preserve">Autorski honorari - koncert </t>
  </si>
  <si>
    <t xml:space="preserve">Zakupnine i najamnine </t>
  </si>
  <si>
    <t xml:space="preserve">Uredski i ostali materijal </t>
  </si>
  <si>
    <t xml:space="preserve">Rashodi za materijal i energiju </t>
  </si>
  <si>
    <t xml:space="preserve">Rashodi za usluge </t>
  </si>
  <si>
    <t>Ostali nespomeniti rashodi poslovanja</t>
  </si>
  <si>
    <t xml:space="preserve">Reprezentacija </t>
  </si>
  <si>
    <t xml:space="preserve">Aktivnost Proslava Dana Općine i ostale godišnje manifestacije </t>
  </si>
  <si>
    <t>Ostale int.usluge predstave</t>
  </si>
  <si>
    <t xml:space="preserve">Reprezentacija prigodni pokloni </t>
  </si>
  <si>
    <t>Zatezne kamate</t>
  </si>
  <si>
    <t>Izvršenje 22.10.24.</t>
  </si>
  <si>
    <t xml:space="preserve">50 mesečo </t>
  </si>
  <si>
    <t>konji</t>
  </si>
  <si>
    <t>branitelji đurđevac</t>
  </si>
  <si>
    <t>isplaćeno 2024</t>
  </si>
  <si>
    <t xml:space="preserve">7 000 neto </t>
  </si>
  <si>
    <t xml:space="preserve">cca 65% minimalca </t>
  </si>
  <si>
    <t xml:space="preserve">do 7000 po kupnji </t>
  </si>
  <si>
    <t xml:space="preserve">do 1200 po objektu </t>
  </si>
  <si>
    <t>uskrs 30  bilo 220 ljudi božić 30 bilo 138</t>
  </si>
  <si>
    <t>40eura *92 dece</t>
  </si>
  <si>
    <t xml:space="preserve">prometna edukacija djece, škola plivanja i zvijezda škole </t>
  </si>
  <si>
    <t xml:space="preserve">29,00 po psu </t>
  </si>
  <si>
    <t xml:space="preserve">skrb cca190 mjesečno </t>
  </si>
  <si>
    <t xml:space="preserve">rezervacija 188 mjesečno </t>
  </si>
  <si>
    <t>novi izračun treba nakon god obračuna 2024</t>
  </si>
  <si>
    <t xml:space="preserve">cca 180 mjesečno </t>
  </si>
  <si>
    <t xml:space="preserve">inventura </t>
  </si>
  <si>
    <t xml:space="preserve">dugovi ošasne </t>
  </si>
  <si>
    <t xml:space="preserve">fina </t>
  </si>
  <si>
    <t>erste</t>
  </si>
  <si>
    <t>lag</t>
  </si>
  <si>
    <t>turistička</t>
  </si>
  <si>
    <t>hrv zaj opć</t>
  </si>
  <si>
    <t>kontak</t>
  </si>
  <si>
    <t xml:space="preserve">isplate </t>
  </si>
  <si>
    <t xml:space="preserve">uredsko </t>
  </si>
  <si>
    <t>axiom</t>
  </si>
  <si>
    <t>web kosin</t>
  </si>
  <si>
    <t>antivirus 200</t>
  </si>
  <si>
    <t>wc</t>
  </si>
  <si>
    <t>šator</t>
  </si>
  <si>
    <t>napuhanac</t>
  </si>
  <si>
    <t xml:space="preserve">kopirka </t>
  </si>
  <si>
    <t>kosinus</t>
  </si>
  <si>
    <t xml:space="preserve">drava info </t>
  </si>
  <si>
    <t xml:space="preserve">podravsli radio </t>
  </si>
  <si>
    <t>čestitke</t>
  </si>
  <si>
    <t>dani općine 1100</t>
  </si>
  <si>
    <t>Internet</t>
  </si>
  <si>
    <t>z otok</t>
  </si>
  <si>
    <t xml:space="preserve">mobiteli </t>
  </si>
  <si>
    <t>BOŽIĆ 350*6</t>
  </si>
  <si>
    <t>REGRES 350*6</t>
  </si>
  <si>
    <t>ivica jubilarna 15 g</t>
  </si>
  <si>
    <t>Ostali rashodi za zaposlene (regres, božićnice, ščuka 15)</t>
  </si>
  <si>
    <t xml:space="preserve">jelo i piće sjednica </t>
  </si>
  <si>
    <t xml:space="preserve">zamp </t>
  </si>
  <si>
    <t>svibanj</t>
  </si>
  <si>
    <t xml:space="preserve">kolovoz </t>
  </si>
  <si>
    <t xml:space="preserve">sveukupno </t>
  </si>
  <si>
    <t xml:space="preserve">rashodi </t>
  </si>
  <si>
    <t>višak plan 25</t>
  </si>
  <si>
    <t>uk prih</t>
  </si>
  <si>
    <t xml:space="preserve">razlika uravnoteža </t>
  </si>
  <si>
    <t>4 dolaska mesečno bruto po dolasku 75</t>
  </si>
  <si>
    <t>VAL</t>
  </si>
  <si>
    <t xml:space="preserve">plaće okvirno izračunate točno nakoin načelnika </t>
  </si>
  <si>
    <t xml:space="preserve">plaća okvirno izračlunata </t>
  </si>
  <si>
    <t xml:space="preserve">KP novo Rekonstrukcija pješačke staze u Dravskoj ulici II faza </t>
  </si>
  <si>
    <t>Reflektori NK</t>
  </si>
  <si>
    <t>Kapitalni projekt Tenisko točan naziv</t>
  </si>
  <si>
    <t>Ostali prometni objekti parking</t>
  </si>
  <si>
    <t xml:space="preserve">Izrada procjene od rizika </t>
  </si>
  <si>
    <t xml:space="preserve">štete trećima još treba </t>
  </si>
  <si>
    <t xml:space="preserve">paviljon pojačanje struje </t>
  </si>
  <si>
    <t>plan 25</t>
  </si>
  <si>
    <t>šodrenje 15.000</t>
  </si>
  <si>
    <t xml:space="preserve">Aktivnost lokalni, župan </t>
  </si>
  <si>
    <t>nadzor4000</t>
  </si>
  <si>
    <t>nadzor 3000</t>
  </si>
  <si>
    <t xml:space="preserve">brodić ceste </t>
  </si>
  <si>
    <t xml:space="preserve">pavlanci </t>
  </si>
  <si>
    <t xml:space="preserve">brodić </t>
  </si>
  <si>
    <t>projektiranje</t>
  </si>
  <si>
    <t xml:space="preserve">nadzor </t>
  </si>
  <si>
    <t xml:space="preserve">vodenica </t>
  </si>
  <si>
    <t>12*100*10 mjeseci</t>
  </si>
  <si>
    <t>štuka 3500</t>
  </si>
  <si>
    <t>lovci 3500 nogometaši 50000</t>
  </si>
  <si>
    <t xml:space="preserve">ribe i lovci za 1.000 gore radi jela u svibnju </t>
  </si>
  <si>
    <t xml:space="preserve">prilaz druga strana i pregled i osiguranje </t>
  </si>
  <si>
    <t>Pomoći iz DP-staza pješačka min.reg razvoja</t>
  </si>
  <si>
    <t xml:space="preserve">Dp žuc  ŠIKANA </t>
  </si>
  <si>
    <t>DP (MIN.GRAD)</t>
  </si>
  <si>
    <t xml:space="preserve">neznamo kaj </t>
  </si>
  <si>
    <t>1% u rashodu prepravit</t>
  </si>
  <si>
    <t xml:space="preserve">19880,05  imaju pravo </t>
  </si>
  <si>
    <t xml:space="preserve">izračunati po porezu </t>
  </si>
  <si>
    <t>Kapitalni projekt Parking vrtić točan naziv</t>
  </si>
  <si>
    <t>bitumeniz 50.000</t>
  </si>
  <si>
    <t xml:space="preserve">KP Uređenje groblja izgadnjom staze </t>
  </si>
  <si>
    <t xml:space="preserve">prilaz </t>
  </si>
  <si>
    <t xml:space="preserve">ograda, antistres </t>
  </si>
  <si>
    <t xml:space="preserve">demografija vrtić ograda i vanjsko uređenje </t>
  </si>
  <si>
    <t xml:space="preserve">vrtić vanjsko uređenje ograde i ostalo </t>
  </si>
  <si>
    <t>kloštar 87000</t>
  </si>
  <si>
    <t xml:space="preserve">javna rasvjeta helena </t>
  </si>
  <si>
    <t>krpanje</t>
  </si>
  <si>
    <t>laptop, kuhinja, stolac ivana</t>
  </si>
  <si>
    <t>KP Uređenje križanja ulice Trg slobode i P.Preradovića izradom horizontalnog usporivača</t>
  </si>
  <si>
    <t xml:space="preserve">           Na temelju članka 42. Zakona o proračunu ("Narodne novine 144/21") i članka 31. Statuta Općine Ferdinandovac ("Službeni glasnik Koprivničko-križevačke županije" broj: 6/13, 1/18, 5/20. i 4/21) Općinsko vijeće Općine Ferdinandovac na ______. sjednici održanoj ________.2024. godine donijelo je</t>
  </si>
  <si>
    <t xml:space="preserve">samo predsjednički 1 10.000 za župana </t>
  </si>
  <si>
    <t>Održavanje skele, godišnji pregled i registracija i osig.</t>
  </si>
  <si>
    <t>Ceste</t>
  </si>
  <si>
    <t xml:space="preserve">2025. godine. </t>
  </si>
  <si>
    <t>Kapitalni projekt KP100806 Uređenje groblja izgradnjom staza</t>
  </si>
  <si>
    <t xml:space="preserve">Program 1027: Društvene manifestacije i promoviranje općine </t>
  </si>
  <si>
    <t xml:space="preserve">Aktivnost A102701  Proslava Dana Općine i ostale godišnje manifestacije </t>
  </si>
  <si>
    <t>Kapitalni projekt KP100815 Rekonstrukcija nogostupa u Gajevoj, Miškininoj i Nazorovoj ulici</t>
  </si>
  <si>
    <t>3 i 4</t>
  </si>
  <si>
    <t>Plan prihoda 2026</t>
  </si>
  <si>
    <t>Plan prihoda 2027</t>
  </si>
  <si>
    <t>BROJČANA OZNAKA I NAZIV</t>
  </si>
  <si>
    <t>prema funkcijskoj klasifikaciji, kako slijedi:</t>
  </si>
  <si>
    <t xml:space="preserve">Aktivnost  A101203 Održavanje građevinskih objekata u vlasništvu Općine </t>
  </si>
  <si>
    <t>Korisnik: Dječji vrtić "Košutica" Ferdinandovac</t>
  </si>
  <si>
    <t>Kapitalni projekt KP100809 Rekonstrukcija NC u ulici Trepče</t>
  </si>
  <si>
    <t xml:space="preserve">Kapitalni projekt KP100810 Rekonstrukcija sportskih i rekreacijskih prostora </t>
  </si>
  <si>
    <t>Kapitalni projekt KP100811 Uređenje teniskog igrališta</t>
  </si>
  <si>
    <t>Kapitalni projekt KP100812 Izgradnja parkirališta pored dječjeg vrtića</t>
  </si>
  <si>
    <t>Kapitalni projekt KP101202 Uređenje okoliša dječjeg vrtića</t>
  </si>
  <si>
    <t xml:space="preserve">Aktivnost A100001 Djelatnost izvršnog tijela </t>
  </si>
  <si>
    <t>Kapitalni projekt novo asfaltiranje trepče</t>
  </si>
  <si>
    <t xml:space="preserve">izvori </t>
  </si>
  <si>
    <t>Kapitalni projekt KP100813 Izgradnja biciklističko-pješačke staze u naselju Ferdiandovac - faza II.</t>
  </si>
  <si>
    <t>Izvor financiranja: 5.2. Pomoći proračunu iz drugih proračuna</t>
  </si>
  <si>
    <t>Izvor financiranja: 4.3. Prihod za posebne namjene šumski doprinos</t>
  </si>
  <si>
    <t>4.6 Ostali prihodi po posebnim propisima</t>
  </si>
  <si>
    <t xml:space="preserve">Izvor financiranja: 1.3. Prihodi od nefinancijske imovine </t>
  </si>
  <si>
    <t>Izvor financiranja: 4.1. Prihod za posebne namjene grobna naknada</t>
  </si>
  <si>
    <t>Izvor financiranja: 5.1. Pomoći temeljem prijenosa Eu sredstava</t>
  </si>
  <si>
    <t>Izvor financiranja: 4.2. Prihod za posebne namjene komunalna naknada</t>
  </si>
  <si>
    <t>Izvor financiranja: 4.4. Prihod za posebne namjene koncesije</t>
  </si>
  <si>
    <t>Izvor financiranja: 4.6. Prihod za posebne namjene po posebnim propisima</t>
  </si>
  <si>
    <t>Izvor financiranja: 4.5. Prihod za posebne namjene vodni doprinos</t>
  </si>
  <si>
    <t>5.1.</t>
  </si>
  <si>
    <t>1.1.</t>
  </si>
  <si>
    <t>1.2.</t>
  </si>
  <si>
    <t>1.3.</t>
  </si>
  <si>
    <t>1.4.</t>
  </si>
  <si>
    <t>3.1.</t>
  </si>
  <si>
    <t>4.1.</t>
  </si>
  <si>
    <t>4.2.</t>
  </si>
  <si>
    <t>4.3.</t>
  </si>
  <si>
    <t>4.4.</t>
  </si>
  <si>
    <t>4.5.</t>
  </si>
  <si>
    <t>4.6.</t>
  </si>
  <si>
    <t>5.2.</t>
  </si>
  <si>
    <t>Izvor financiranja: 4.2. Prihod za posebne namjene kom. naknada</t>
  </si>
  <si>
    <t xml:space="preserve">Izvor financiranja: 3.1. Vlastiti prihodi </t>
  </si>
  <si>
    <t xml:space="preserve">Izvor financiranja: 1.2.Prihodi od financijske imovine i kamata </t>
  </si>
  <si>
    <t>Izvor financiranja: 1.1. Prihodi od poreza</t>
  </si>
  <si>
    <t>Ferdinandovac, ______.2024.</t>
  </si>
  <si>
    <t xml:space="preserve">Izvor financiranja 01 Opći prihodi i primici </t>
  </si>
  <si>
    <t xml:space="preserve">Izvor financiranja 05 Pomoći </t>
  </si>
  <si>
    <t xml:space="preserve">Izvor financiranja 04 Prihod za posebne namjene </t>
  </si>
  <si>
    <t>Izvor financiranja 03 Vlastiti prihodi</t>
  </si>
  <si>
    <t>Aktivnost A100003 Predsjednički izbori</t>
  </si>
  <si>
    <t>Aktivnost A100004 Izbori za lokalnu samoupravu</t>
  </si>
  <si>
    <t xml:space="preserve">                 Raspoloživa sredstva iz prethodnih godina (višak/manjak prihoda) prema ekonomskoj klasifikaciji planirana su kako slijedi:</t>
  </si>
  <si>
    <t>URBROJ: 2137-15-24-____</t>
  </si>
  <si>
    <t>KLASA: 400-05/24-01/2</t>
  </si>
  <si>
    <t xml:space="preserve">         Obrazloženje Proračuna sastoji se od obrazloženja općeg i posebnog dijela proračuna i njegov je sastavni dio.</t>
  </si>
  <si>
    <t>PRORAČUN OPĆINE FERDINANDOVAC ZA 2025. I PROJEKCIJE ZA 2026. I 2027. GODINU</t>
  </si>
  <si>
    <t xml:space="preserve">              Proračun Općine Ferdinandovac za 2025. i projekcije za 2026. i 2027. godinu (u daljnjem tekstu: Proračun) sastoji  se od:</t>
  </si>
  <si>
    <t xml:space="preserve">         U Računu prihoda i rashoda iskazani su prihodi poslovanja i prihodi od prodaje nefinancijske imovine te rashodi poslovanja i rashodi za nabavu nefinancijske imovine prema </t>
  </si>
  <si>
    <t xml:space="preserve">           U Računu prihoda i rashoda iskazani su prihodi poslovanja i prihodi od prodaje nefinancijske imovine te rashodi poslovanja i rashodi za nabavu nefinancijske imovine </t>
  </si>
  <si>
    <t xml:space="preserve">            U Računu financiranja iskazani su primici i izdaci prema ekonomskoj klasifikaciji kako slijedi:</t>
  </si>
  <si>
    <t xml:space="preserve">          U Računu financiranja iskazani su primici i izdaci prema izvorima financiranja kako slijedi:</t>
  </si>
  <si>
    <t xml:space="preserve">        Rashodi i izdaci proračuna u iznosu 2.244.186,00 eura raspoređuju se prema organizacijskoj, programskoj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</si>
</sst>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60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6" fillId="0" borderId="0" xfId="0" applyFont="1"/>
    <xf numFmtId="4" fontId="6" fillId="3" borderId="3" xfId="0" applyNumberFormat="1" applyFont="1" applyFill="1" applyBorder="1" applyAlignment="1">
      <alignment horizontal="right"/>
    </xf>
    <xf numFmtId="4" fontId="0" fillId="0" borderId="0" xfId="0" applyNumberFormat="1"/>
    <xf numFmtId="4" fontId="6" fillId="0" borderId="3" xfId="0" applyNumberFormat="1" applyFont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6" fillId="2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left" vertical="center" wrapText="1"/>
    </xf>
    <xf numFmtId="4" fontId="0" fillId="0" borderId="3" xfId="0" applyNumberFormat="1" applyBorder="1"/>
    <xf numFmtId="0" fontId="18" fillId="6" borderId="3" xfId="0" applyFont="1" applyFill="1" applyBorder="1"/>
    <xf numFmtId="0" fontId="9" fillId="7" borderId="3" xfId="0" applyFont="1" applyFill="1" applyBorder="1"/>
    <xf numFmtId="4" fontId="9" fillId="7" borderId="3" xfId="0" applyNumberFormat="1" applyFont="1" applyFill="1" applyBorder="1"/>
    <xf numFmtId="4" fontId="3" fillId="0" borderId="4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9" fillId="7" borderId="3" xfId="0" applyNumberFormat="1" applyFont="1" applyFill="1" applyBorder="1" applyAlignment="1">
      <alignment horizontal="right"/>
    </xf>
    <xf numFmtId="4" fontId="9" fillId="7" borderId="3" xfId="0" applyNumberFormat="1" applyFont="1" applyFill="1" applyBorder="1" applyAlignment="1">
      <alignment horizontal="right" shrinkToFit="1"/>
    </xf>
    <xf numFmtId="4" fontId="3" fillId="7" borderId="3" xfId="0" applyNumberFormat="1" applyFont="1" applyFill="1" applyBorder="1" applyAlignment="1">
      <alignment horizontal="right"/>
    </xf>
    <xf numFmtId="4" fontId="1" fillId="8" borderId="3" xfId="0" applyNumberFormat="1" applyFont="1" applyFill="1" applyBorder="1"/>
    <xf numFmtId="0" fontId="11" fillId="8" borderId="3" xfId="0" applyFont="1" applyFill="1" applyBorder="1"/>
    <xf numFmtId="0" fontId="11" fillId="9" borderId="3" xfId="0" applyFont="1" applyFill="1" applyBorder="1" applyAlignment="1">
      <alignment horizontal="left"/>
    </xf>
    <xf numFmtId="4" fontId="11" fillId="9" borderId="3" xfId="0" applyNumberFormat="1" applyFont="1" applyFill="1" applyBorder="1" applyAlignment="1">
      <alignment horizontal="right"/>
    </xf>
    <xf numFmtId="0" fontId="11" fillId="11" borderId="7" xfId="0" applyFont="1" applyFill="1" applyBorder="1"/>
    <xf numFmtId="0" fontId="0" fillId="0" borderId="0" xfId="0" applyAlignment="1">
      <alignment horizontal="left"/>
    </xf>
    <xf numFmtId="0" fontId="9" fillId="0" borderId="3" xfId="0" quotePrefix="1" applyFont="1" applyBorder="1" applyAlignment="1">
      <alignment horizontal="left" vertical="center"/>
    </xf>
    <xf numFmtId="49" fontId="10" fillId="0" borderId="3" xfId="0" quotePrefix="1" applyNumberFormat="1" applyFont="1" applyBorder="1" applyAlignment="1">
      <alignment horizontal="left" vertical="center"/>
    </xf>
    <xf numFmtId="0" fontId="10" fillId="0" borderId="3" xfId="0" quotePrefix="1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center" wrapText="1"/>
    </xf>
    <xf numFmtId="0" fontId="10" fillId="0" borderId="3" xfId="0" quotePrefix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7" fillId="0" borderId="0" xfId="0" applyFont="1"/>
    <xf numFmtId="0" fontId="9" fillId="0" borderId="0" xfId="0" applyFont="1"/>
    <xf numFmtId="0" fontId="11" fillId="0" borderId="0" xfId="0" applyFont="1"/>
    <xf numFmtId="2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shrinkToFit="1"/>
    </xf>
    <xf numFmtId="4" fontId="7" fillId="0" borderId="0" xfId="0" applyNumberFormat="1" applyFont="1"/>
    <xf numFmtId="4" fontId="18" fillId="0" borderId="0" xfId="0" applyNumberFormat="1" applyFont="1"/>
    <xf numFmtId="4" fontId="8" fillId="0" borderId="0" xfId="0" applyNumberFormat="1" applyFont="1"/>
    <xf numFmtId="0" fontId="9" fillId="0" borderId="3" xfId="0" applyFont="1" applyBorder="1"/>
    <xf numFmtId="4" fontId="9" fillId="0" borderId="3" xfId="0" applyNumberFormat="1" applyFont="1" applyBorder="1"/>
    <xf numFmtId="0" fontId="9" fillId="0" borderId="1" xfId="0" applyFont="1" applyBorder="1"/>
    <xf numFmtId="0" fontId="9" fillId="0" borderId="4" xfId="0" applyFont="1" applyBorder="1"/>
    <xf numFmtId="0" fontId="9" fillId="2" borderId="3" xfId="0" applyFont="1" applyFill="1" applyBorder="1"/>
    <xf numFmtId="0" fontId="9" fillId="0" borderId="2" xfId="0" applyFont="1" applyBorder="1"/>
    <xf numFmtId="4" fontId="9" fillId="0" borderId="0" xfId="0" applyNumberFormat="1" applyFont="1"/>
    <xf numFmtId="0" fontId="9" fillId="0" borderId="5" xfId="0" applyFont="1" applyBorder="1"/>
    <xf numFmtId="4" fontId="11" fillId="0" borderId="3" xfId="0" applyNumberFormat="1" applyFont="1" applyBorder="1"/>
    <xf numFmtId="0" fontId="21" fillId="0" borderId="0" xfId="0" applyFont="1"/>
    <xf numFmtId="0" fontId="11" fillId="6" borderId="3" xfId="0" applyFont="1" applyFill="1" applyBorder="1"/>
    <xf numFmtId="4" fontId="11" fillId="6" borderId="3" xfId="0" applyNumberFormat="1" applyFont="1" applyFill="1" applyBorder="1"/>
    <xf numFmtId="4" fontId="11" fillId="0" borderId="0" xfId="0" applyNumberFormat="1" applyFont="1"/>
    <xf numFmtId="2" fontId="7" fillId="0" borderId="3" xfId="0" applyNumberFormat="1" applyFont="1" applyBorder="1" applyAlignment="1">
      <alignment horizontal="center" vertical="center" wrapText="1"/>
    </xf>
    <xf numFmtId="0" fontId="21" fillId="12" borderId="3" xfId="0" applyFont="1" applyFill="1" applyBorder="1"/>
    <xf numFmtId="4" fontId="21" fillId="12" borderId="3" xfId="0" applyNumberFormat="1" applyFont="1" applyFill="1" applyBorder="1"/>
    <xf numFmtId="0" fontId="7" fillId="13" borderId="3" xfId="0" applyFont="1" applyFill="1" applyBorder="1"/>
    <xf numFmtId="4" fontId="7" fillId="13" borderId="3" xfId="0" applyNumberFormat="1" applyFont="1" applyFill="1" applyBorder="1"/>
    <xf numFmtId="0" fontId="18" fillId="14" borderId="3" xfId="0" applyFont="1" applyFill="1" applyBorder="1"/>
    <xf numFmtId="4" fontId="11" fillId="14" borderId="3" xfId="0" applyNumberFormat="1" applyFont="1" applyFill="1" applyBorder="1"/>
    <xf numFmtId="0" fontId="18" fillId="15" borderId="3" xfId="0" applyFont="1" applyFill="1" applyBorder="1"/>
    <xf numFmtId="0" fontId="0" fillId="15" borderId="3" xfId="0" applyFill="1" applyBorder="1"/>
    <xf numFmtId="4" fontId="11" fillId="15" borderId="3" xfId="0" applyNumberFormat="1" applyFont="1" applyFill="1" applyBorder="1"/>
    <xf numFmtId="4" fontId="11" fillId="16" borderId="3" xfId="0" applyNumberFormat="1" applyFont="1" applyFill="1" applyBorder="1"/>
    <xf numFmtId="0" fontId="11" fillId="5" borderId="3" xfId="0" applyFont="1" applyFill="1" applyBorder="1"/>
    <xf numFmtId="0" fontId="11" fillId="15" borderId="3" xfId="0" applyFont="1" applyFill="1" applyBorder="1"/>
    <xf numFmtId="4" fontId="22" fillId="13" borderId="3" xfId="0" applyNumberFormat="1" applyFont="1" applyFill="1" applyBorder="1"/>
    <xf numFmtId="4" fontId="9" fillId="5" borderId="3" xfId="0" applyNumberFormat="1" applyFont="1" applyFill="1" applyBorder="1"/>
    <xf numFmtId="0" fontId="9" fillId="15" borderId="3" xfId="0" applyFont="1" applyFill="1" applyBorder="1"/>
    <xf numFmtId="0" fontId="11" fillId="16" borderId="3" xfId="0" applyFont="1" applyFill="1" applyBorder="1"/>
    <xf numFmtId="4" fontId="18" fillId="14" borderId="3" xfId="0" applyNumberFormat="1" applyFont="1" applyFill="1" applyBorder="1"/>
    <xf numFmtId="4" fontId="11" fillId="16" borderId="3" xfId="0" applyNumberFormat="1" applyFont="1" applyFill="1" applyBorder="1" applyAlignment="1">
      <alignment horizontal="right"/>
    </xf>
    <xf numFmtId="4" fontId="19" fillId="0" borderId="0" xfId="0" applyNumberFormat="1" applyFont="1"/>
    <xf numFmtId="4" fontId="18" fillId="6" borderId="3" xfId="0" applyNumberFormat="1" applyFont="1" applyFill="1" applyBorder="1"/>
    <xf numFmtId="4" fontId="9" fillId="10" borderId="3" xfId="0" applyNumberFormat="1" applyFont="1" applyFill="1" applyBorder="1"/>
    <xf numFmtId="4" fontId="23" fillId="0" borderId="0" xfId="0" applyNumberFormat="1" applyFont="1"/>
    <xf numFmtId="0" fontId="11" fillId="17" borderId="7" xfId="0" applyFont="1" applyFill="1" applyBorder="1"/>
    <xf numFmtId="0" fontId="11" fillId="17" borderId="10" xfId="0" applyFont="1" applyFill="1" applyBorder="1"/>
    <xf numFmtId="0" fontId="11" fillId="17" borderId="12" xfId="0" applyFont="1" applyFill="1" applyBorder="1" applyAlignment="1">
      <alignment horizontal="left"/>
    </xf>
    <xf numFmtId="0" fontId="11" fillId="17" borderId="5" xfId="0" applyFont="1" applyFill="1" applyBorder="1" applyAlignment="1">
      <alignment horizontal="left"/>
    </xf>
    <xf numFmtId="0" fontId="11" fillId="17" borderId="3" xfId="0" applyFont="1" applyFill="1" applyBorder="1"/>
    <xf numFmtId="4" fontId="0" fillId="17" borderId="3" xfId="0" applyNumberFormat="1" applyFill="1" applyBorder="1"/>
    <xf numFmtId="0" fontId="11" fillId="17" borderId="1" xfId="0" applyFont="1" applyFill="1" applyBorder="1"/>
    <xf numFmtId="4" fontId="1" fillId="5" borderId="3" xfId="0" applyNumberFormat="1" applyFont="1" applyFill="1" applyBorder="1"/>
    <xf numFmtId="4" fontId="6" fillId="0" borderId="4" xfId="0" applyNumberFormat="1" applyFont="1" applyBorder="1" applyAlignment="1">
      <alignment horizontal="right"/>
    </xf>
    <xf numFmtId="4" fontId="1" fillId="17" borderId="3" xfId="0" applyNumberFormat="1" applyFont="1" applyFill="1" applyBorder="1"/>
    <xf numFmtId="0" fontId="1" fillId="0" borderId="0" xfId="0" applyFont="1"/>
    <xf numFmtId="0" fontId="14" fillId="0" borderId="0" xfId="0" applyFont="1"/>
    <xf numFmtId="0" fontId="25" fillId="0" borderId="0" xfId="0" applyFont="1"/>
    <xf numFmtId="0" fontId="27" fillId="0" borderId="0" xfId="0" applyFont="1"/>
    <xf numFmtId="4" fontId="3" fillId="0" borderId="3" xfId="0" applyNumberFormat="1" applyFont="1" applyBorder="1" applyAlignment="1">
      <alignment horizontal="right" wrapText="1"/>
    </xf>
    <xf numFmtId="4" fontId="0" fillId="5" borderId="0" xfId="0" applyNumberFormat="1" applyFill="1"/>
    <xf numFmtId="4" fontId="24" fillId="0" borderId="0" xfId="0" applyNumberFormat="1" applyFont="1"/>
    <xf numFmtId="4" fontId="9" fillId="0" borderId="0" xfId="0" applyNumberFormat="1" applyFont="1" applyAlignment="1">
      <alignment horizontal="right"/>
    </xf>
    <xf numFmtId="4" fontId="1" fillId="8" borderId="3" xfId="0" applyNumberFormat="1" applyFont="1" applyFill="1" applyBorder="1" applyAlignment="1">
      <alignment horizontal="right"/>
    </xf>
    <xf numFmtId="0" fontId="28" fillId="0" borderId="0" xfId="0" applyFont="1"/>
    <xf numFmtId="4" fontId="6" fillId="0" borderId="3" xfId="0" applyNumberFormat="1" applyFont="1" applyBorder="1" applyAlignment="1">
      <alignment horizontal="right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9" fillId="0" borderId="7" xfId="0" applyNumberFormat="1" applyFont="1" applyBorder="1" applyAlignment="1">
      <alignment horizontal="right" shrinkToFit="1"/>
    </xf>
    <xf numFmtId="4" fontId="25" fillId="0" borderId="0" xfId="0" applyNumberFormat="1" applyFont="1"/>
    <xf numFmtId="49" fontId="25" fillId="0" borderId="0" xfId="0" applyNumberFormat="1" applyFont="1"/>
    <xf numFmtId="0" fontId="25" fillId="0" borderId="3" xfId="0" applyFont="1" applyBorder="1"/>
    <xf numFmtId="4" fontId="25" fillId="0" borderId="3" xfId="0" applyNumberFormat="1" applyFont="1" applyBorder="1"/>
    <xf numFmtId="4" fontId="27" fillId="0" borderId="3" xfId="0" applyNumberFormat="1" applyFont="1" applyBorder="1"/>
    <xf numFmtId="4" fontId="27" fillId="0" borderId="0" xfId="0" applyNumberFormat="1" applyFont="1"/>
    <xf numFmtId="0" fontId="12" fillId="0" borderId="0" xfId="0" applyFont="1" applyAlignment="1">
      <alignment wrapText="1"/>
    </xf>
    <xf numFmtId="0" fontId="11" fillId="0" borderId="0" xfId="0" quotePrefix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0" fontId="31" fillId="0" borderId="0" xfId="0" quotePrefix="1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0" borderId="1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left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quotePrefix="1" applyFont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4" fontId="0" fillId="19" borderId="3" xfId="0" applyNumberFormat="1" applyFill="1" applyBorder="1"/>
    <xf numFmtId="4" fontId="11" fillId="15" borderId="3" xfId="0" applyNumberFormat="1" applyFont="1" applyFill="1" applyBorder="1" applyAlignment="1">
      <alignment horizontal="right"/>
    </xf>
    <xf numFmtId="0" fontId="11" fillId="6" borderId="3" xfId="0" applyFont="1" applyFill="1" applyBorder="1" applyAlignment="1">
      <alignment horizontal="left"/>
    </xf>
    <xf numFmtId="4" fontId="0" fillId="6" borderId="3" xfId="0" applyNumberFormat="1" applyFill="1" applyBorder="1"/>
    <xf numFmtId="4" fontId="9" fillId="6" borderId="3" xfId="0" applyNumberFormat="1" applyFont="1" applyFill="1" applyBorder="1"/>
    <xf numFmtId="4" fontId="18" fillId="20" borderId="3" xfId="0" applyNumberFormat="1" applyFont="1" applyFill="1" applyBorder="1"/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" fontId="1" fillId="0" borderId="0" xfId="0" applyNumberFormat="1" applyFont="1"/>
    <xf numFmtId="0" fontId="9" fillId="0" borderId="0" xfId="0" applyFont="1" applyAlignment="1">
      <alignment horizontal="left" shrinkToFit="1"/>
    </xf>
    <xf numFmtId="0" fontId="11" fillId="0" borderId="3" xfId="0" applyFont="1" applyBorder="1"/>
    <xf numFmtId="4" fontId="18" fillId="20" borderId="0" xfId="0" applyNumberFormat="1" applyFont="1" applyFill="1" applyAlignment="1">
      <alignment horizontal="right"/>
    </xf>
    <xf numFmtId="0" fontId="13" fillId="0" borderId="0" xfId="0" applyFont="1" applyAlignment="1">
      <alignment vertical="center" wrapText="1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0" fillId="4" borderId="6" xfId="0" applyFill="1" applyBorder="1"/>
    <xf numFmtId="0" fontId="0" fillId="4" borderId="5" xfId="0" applyFill="1" applyBorder="1"/>
    <xf numFmtId="0" fontId="0" fillId="4" borderId="11" xfId="0" applyFill="1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4" fontId="11" fillId="4" borderId="1" xfId="0" quotePrefix="1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 wrapText="1"/>
    </xf>
    <xf numFmtId="4" fontId="11" fillId="3" borderId="1" xfId="0" quotePrefix="1" applyNumberFormat="1" applyFont="1" applyFill="1" applyBorder="1" applyAlignment="1">
      <alignment horizontal="right"/>
    </xf>
    <xf numFmtId="4" fontId="11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6" fillId="0" borderId="4" xfId="0" applyNumberFormat="1" applyFont="1" applyBorder="1" applyAlignment="1">
      <alignment horizontal="right" vertical="center" wrapText="1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/>
    <xf numFmtId="0" fontId="10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6" fillId="0" borderId="0" xfId="0" applyFont="1"/>
    <xf numFmtId="49" fontId="37" fillId="2" borderId="3" xfId="0" applyNumberFormat="1" applyFont="1" applyFill="1" applyBorder="1" applyAlignment="1">
      <alignment horizontal="left" vertical="center" wrapText="1"/>
    </xf>
    <xf numFmtId="4" fontId="35" fillId="0" borderId="4" xfId="0" applyNumberFormat="1" applyFont="1" applyBorder="1" applyAlignment="1">
      <alignment horizontal="right"/>
    </xf>
    <xf numFmtId="49" fontId="23" fillId="2" borderId="3" xfId="0" applyNumberFormat="1" applyFont="1" applyFill="1" applyBorder="1" applyAlignment="1">
      <alignment horizontal="left" vertical="center" wrapText="1"/>
    </xf>
    <xf numFmtId="4" fontId="38" fillId="2" borderId="4" xfId="0" applyNumberFormat="1" applyFont="1" applyFill="1" applyBorder="1" applyAlignment="1">
      <alignment horizontal="right"/>
    </xf>
    <xf numFmtId="4" fontId="38" fillId="0" borderId="3" xfId="0" applyNumberFormat="1" applyFont="1" applyBorder="1" applyAlignment="1">
      <alignment horizontal="right"/>
    </xf>
    <xf numFmtId="4" fontId="35" fillId="2" borderId="4" xfId="0" applyNumberFormat="1" applyFont="1" applyFill="1" applyBorder="1" applyAlignment="1">
      <alignment horizontal="right"/>
    </xf>
    <xf numFmtId="4" fontId="38" fillId="0" borderId="3" xfId="0" applyNumberFormat="1" applyFont="1" applyBorder="1" applyAlignment="1">
      <alignment horizontal="right" wrapText="1"/>
    </xf>
    <xf numFmtId="49" fontId="36" fillId="0" borderId="0" xfId="0" applyNumberFormat="1" applyFont="1"/>
    <xf numFmtId="0" fontId="35" fillId="0" borderId="0" xfId="0" applyFont="1" applyAlignment="1">
      <alignment horizontal="center" vertical="center" wrapText="1"/>
    </xf>
    <xf numFmtId="0" fontId="39" fillId="0" borderId="0" xfId="0" applyFont="1"/>
    <xf numFmtId="49" fontId="38" fillId="2" borderId="3" xfId="0" applyNumberFormat="1" applyFont="1" applyFill="1" applyBorder="1" applyAlignment="1">
      <alignment horizontal="left"/>
    </xf>
    <xf numFmtId="4" fontId="39" fillId="0" borderId="3" xfId="0" applyNumberFormat="1" applyFont="1" applyBorder="1"/>
    <xf numFmtId="49" fontId="36" fillId="0" borderId="3" xfId="0" applyNumberFormat="1" applyFont="1" applyBorder="1"/>
    <xf numFmtId="49" fontId="36" fillId="0" borderId="3" xfId="0" applyNumberFormat="1" applyFont="1" applyBorder="1" applyAlignment="1">
      <alignment wrapText="1"/>
    </xf>
    <xf numFmtId="4" fontId="39" fillId="0" borderId="0" xfId="0" applyNumberFormat="1" applyFont="1"/>
    <xf numFmtId="4" fontId="38" fillId="2" borderId="0" xfId="0" applyNumberFormat="1" applyFont="1" applyFill="1" applyAlignment="1">
      <alignment horizontal="right"/>
    </xf>
    <xf numFmtId="0" fontId="11" fillId="17" borderId="1" xfId="0" applyFont="1" applyFill="1" applyBorder="1" applyAlignment="1">
      <alignment horizontal="left"/>
    </xf>
    <xf numFmtId="0" fontId="11" fillId="17" borderId="2" xfId="0" applyFont="1" applyFill="1" applyBorder="1" applyAlignment="1">
      <alignment horizontal="left"/>
    </xf>
    <xf numFmtId="0" fontId="29" fillId="0" borderId="0" xfId="0" applyFont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0" fillId="5" borderId="3" xfId="0" applyNumberFormat="1" applyFill="1" applyBorder="1"/>
    <xf numFmtId="0" fontId="29" fillId="0" borderId="0" xfId="0" applyFont="1" applyAlignment="1">
      <alignment wrapText="1"/>
    </xf>
    <xf numFmtId="0" fontId="27" fillId="0" borderId="0" xfId="0" applyFont="1" applyAlignment="1">
      <alignment horizontal="left"/>
    </xf>
    <xf numFmtId="4" fontId="1" fillId="17" borderId="3" xfId="0" applyNumberFormat="1" applyFont="1" applyFill="1" applyBorder="1" applyAlignment="1">
      <alignment horizontal="right"/>
    </xf>
    <xf numFmtId="4" fontId="18" fillId="14" borderId="3" xfId="0" applyNumberFormat="1" applyFont="1" applyFill="1" applyBorder="1" applyAlignment="1">
      <alignment horizontal="right"/>
    </xf>
    <xf numFmtId="4" fontId="11" fillId="6" borderId="3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shrinkToFit="1"/>
    </xf>
    <xf numFmtId="16" fontId="9" fillId="0" borderId="1" xfId="0" applyNumberFormat="1" applyFont="1" applyBorder="1" applyAlignment="1">
      <alignment horizontal="left" shrinkToFit="1"/>
    </xf>
    <xf numFmtId="0" fontId="9" fillId="0" borderId="8" xfId="0" applyFont="1" applyBorder="1" applyAlignment="1">
      <alignment horizontal="left" shrinkToFit="1"/>
    </xf>
    <xf numFmtId="0" fontId="9" fillId="0" borderId="13" xfId="0" applyFont="1" applyBorder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4" fontId="9" fillId="0" borderId="3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 shrinkToFit="1"/>
    </xf>
    <xf numFmtId="4" fontId="3" fillId="2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 shrinkToFit="1"/>
    </xf>
    <xf numFmtId="4" fontId="11" fillId="0" borderId="3" xfId="0" applyNumberFormat="1" applyFont="1" applyBorder="1" applyAlignment="1">
      <alignment horizontal="right"/>
    </xf>
    <xf numFmtId="0" fontId="9" fillId="0" borderId="6" xfId="0" applyFont="1" applyBorder="1" applyAlignment="1">
      <alignment horizontal="left"/>
    </xf>
    <xf numFmtId="4" fontId="6" fillId="0" borderId="3" xfId="0" applyNumberFormat="1" applyFont="1" applyBorder="1" applyAlignment="1">
      <alignment horizontal="right" vertical="center" wrapText="1"/>
    </xf>
    <xf numFmtId="4" fontId="25" fillId="0" borderId="3" xfId="0" applyNumberFormat="1" applyFont="1" applyBorder="1" applyAlignment="1">
      <alignment horizontal="right"/>
    </xf>
    <xf numFmtId="4" fontId="36" fillId="0" borderId="3" xfId="0" applyNumberFormat="1" applyFont="1" applyBorder="1"/>
    <xf numFmtId="0" fontId="3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/>
    </xf>
    <xf numFmtId="4" fontId="1" fillId="0" borderId="3" xfId="0" applyNumberFormat="1" applyFont="1" applyBorder="1"/>
    <xf numFmtId="0" fontId="11" fillId="17" borderId="8" xfId="0" applyFont="1" applyFill="1" applyBorder="1"/>
    <xf numFmtId="4" fontId="9" fillId="2" borderId="3" xfId="0" applyNumberFormat="1" applyFont="1" applyFill="1" applyBorder="1" applyAlignment="1">
      <alignment horizontal="right"/>
    </xf>
    <xf numFmtId="0" fontId="9" fillId="2" borderId="1" xfId="0" applyFont="1" applyFill="1" applyBorder="1"/>
    <xf numFmtId="0" fontId="11" fillId="17" borderId="2" xfId="0" applyFont="1" applyFill="1" applyBorder="1"/>
    <xf numFmtId="4" fontId="1" fillId="17" borderId="7" xfId="0" applyNumberFormat="1" applyFont="1" applyFill="1" applyBorder="1" applyAlignment="1">
      <alignment horizontal="right"/>
    </xf>
    <xf numFmtId="4" fontId="1" fillId="17" borderId="7" xfId="0" applyNumberFormat="1" applyFont="1" applyFill="1" applyBorder="1"/>
    <xf numFmtId="0" fontId="11" fillId="17" borderId="12" xfId="0" applyFont="1" applyFill="1" applyBorder="1"/>
    <xf numFmtId="4" fontId="1" fillId="17" borderId="12" xfId="0" applyNumberFormat="1" applyFont="1" applyFill="1" applyBorder="1" applyAlignment="1">
      <alignment horizontal="right"/>
    </xf>
    <xf numFmtId="4" fontId="1" fillId="17" borderId="12" xfId="0" applyNumberFormat="1" applyFont="1" applyFill="1" applyBorder="1"/>
    <xf numFmtId="4" fontId="0" fillId="0" borderId="1" xfId="0" applyNumberFormat="1" applyBorder="1"/>
    <xf numFmtId="4" fontId="11" fillId="17" borderId="3" xfId="0" applyNumberFormat="1" applyFont="1" applyFill="1" applyBorder="1" applyAlignment="1">
      <alignment horizontal="right"/>
    </xf>
    <xf numFmtId="4" fontId="11" fillId="17" borderId="1" xfId="0" applyNumberFormat="1" applyFont="1" applyFill="1" applyBorder="1" applyAlignment="1">
      <alignment horizontal="right"/>
    </xf>
    <xf numFmtId="4" fontId="1" fillId="8" borderId="1" xfId="0" applyNumberFormat="1" applyFont="1" applyFill="1" applyBorder="1"/>
    <xf numFmtId="4" fontId="0" fillId="17" borderId="3" xfId="0" applyNumberFormat="1" applyFill="1" applyBorder="1" applyAlignment="1">
      <alignment horizontal="right"/>
    </xf>
    <xf numFmtId="4" fontId="0" fillId="17" borderId="1" xfId="0" applyNumberFormat="1" applyFill="1" applyBorder="1"/>
    <xf numFmtId="4" fontId="1" fillId="5" borderId="3" xfId="0" applyNumberFormat="1" applyFont="1" applyFill="1" applyBorder="1" applyAlignment="1">
      <alignment horizontal="right"/>
    </xf>
    <xf numFmtId="4" fontId="1" fillId="5" borderId="1" xfId="0" applyNumberFormat="1" applyFont="1" applyFill="1" applyBorder="1"/>
    <xf numFmtId="0" fontId="2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4" borderId="0" xfId="0" applyFont="1" applyFill="1" applyAlignment="1">
      <alignment horizontal="center" vertical="center" wrapText="1"/>
    </xf>
    <xf numFmtId="4" fontId="1" fillId="17" borderId="0" xfId="0" applyNumberFormat="1" applyFont="1" applyFill="1"/>
    <xf numFmtId="4" fontId="18" fillId="20" borderId="4" xfId="0" applyNumberFormat="1" applyFont="1" applyFill="1" applyBorder="1"/>
    <xf numFmtId="4" fontId="18" fillId="20" borderId="11" xfId="0" applyNumberFormat="1" applyFont="1" applyFill="1" applyBorder="1" applyAlignment="1">
      <alignment horizontal="right"/>
    </xf>
    <xf numFmtId="4" fontId="18" fillId="0" borderId="11" xfId="0" applyNumberFormat="1" applyFont="1" applyBorder="1" applyAlignment="1">
      <alignment horizontal="right"/>
    </xf>
    <xf numFmtId="4" fontId="24" fillId="0" borderId="3" xfId="0" applyNumberFormat="1" applyFont="1" applyBorder="1"/>
    <xf numFmtId="4" fontId="9" fillId="2" borderId="3" xfId="0" applyNumberFormat="1" applyFont="1" applyFill="1" applyBorder="1"/>
    <xf numFmtId="4" fontId="11" fillId="2" borderId="3" xfId="0" applyNumberFormat="1" applyFont="1" applyFill="1" applyBorder="1"/>
    <xf numFmtId="4" fontId="24" fillId="2" borderId="3" xfId="0" applyNumberFormat="1" applyFont="1" applyFill="1" applyBorder="1"/>
    <xf numFmtId="4" fontId="33" fillId="2" borderId="3" xfId="0" applyNumberFormat="1" applyFont="1" applyFill="1" applyBorder="1"/>
    <xf numFmtId="4" fontId="18" fillId="0" borderId="3" xfId="0" applyNumberFormat="1" applyFont="1" applyBorder="1"/>
    <xf numFmtId="4" fontId="9" fillId="16" borderId="3" xfId="0" applyNumberFormat="1" applyFont="1" applyFill="1" applyBorder="1" applyAlignment="1">
      <alignment horizontal="right"/>
    </xf>
    <xf numFmtId="4" fontId="19" fillId="2" borderId="3" xfId="0" applyNumberFormat="1" applyFont="1" applyFill="1" applyBorder="1"/>
    <xf numFmtId="4" fontId="8" fillId="0" borderId="3" xfId="0" applyNumberFormat="1" applyFont="1" applyBorder="1"/>
    <xf numFmtId="0" fontId="18" fillId="20" borderId="3" xfId="0" applyFont="1" applyFill="1" applyBorder="1" applyAlignment="1">
      <alignment horizontal="right"/>
    </xf>
    <xf numFmtId="4" fontId="19" fillId="0" borderId="3" xfId="0" applyNumberFormat="1" applyFont="1" applyBorder="1"/>
    <xf numFmtId="4" fontId="1" fillId="16" borderId="3" xfId="0" applyNumberFormat="1" applyFont="1" applyFill="1" applyBorder="1"/>
    <xf numFmtId="4" fontId="18" fillId="16" borderId="3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4" fontId="7" fillId="0" borderId="3" xfId="0" applyNumberFormat="1" applyFont="1" applyBorder="1"/>
    <xf numFmtId="0" fontId="18" fillId="0" borderId="3" xfId="0" applyFont="1" applyBorder="1"/>
    <xf numFmtId="0" fontId="0" fillId="0" borderId="3" xfId="0" applyBorder="1"/>
    <xf numFmtId="0" fontId="11" fillId="0" borderId="3" xfId="0" applyFont="1" applyBorder="1" applyAlignment="1">
      <alignment horizontal="left"/>
    </xf>
    <xf numFmtId="4" fontId="22" fillId="0" borderId="3" xfId="0" applyNumberFormat="1" applyFont="1" applyBorder="1"/>
    <xf numFmtId="4" fontId="9" fillId="15" borderId="3" xfId="0" applyNumberFormat="1" applyFont="1" applyFill="1" applyBorder="1"/>
    <xf numFmtId="0" fontId="9" fillId="0" borderId="3" xfId="0" applyFont="1" applyBorder="1" applyAlignment="1">
      <alignment horizontal="left" shrinkToFit="1"/>
    </xf>
    <xf numFmtId="0" fontId="0" fillId="0" borderId="3" xfId="0" applyBorder="1" applyAlignment="1">
      <alignment horizontal="left"/>
    </xf>
    <xf numFmtId="0" fontId="18" fillId="20" borderId="3" xfId="0" applyFont="1" applyFill="1" applyBorder="1" applyAlignment="1">
      <alignment horizontal="left"/>
    </xf>
    <xf numFmtId="0" fontId="18" fillId="20" borderId="3" xfId="0" applyFont="1" applyFill="1" applyBorder="1" applyAlignment="1">
      <alignment horizontal="left" wrapText="1"/>
    </xf>
    <xf numFmtId="0" fontId="19" fillId="0" borderId="3" xfId="0" applyFont="1" applyBorder="1" applyAlignment="1">
      <alignment horizontal="left"/>
    </xf>
    <xf numFmtId="4" fontId="0" fillId="2" borderId="3" xfId="0" applyNumberFormat="1" applyFill="1" applyBorder="1"/>
    <xf numFmtId="0" fontId="1" fillId="0" borderId="3" xfId="0" applyFont="1" applyBorder="1"/>
    <xf numFmtId="4" fontId="33" fillId="0" borderId="3" xfId="0" applyNumberFormat="1" applyFont="1" applyBorder="1"/>
    <xf numFmtId="4" fontId="18" fillId="0" borderId="3" xfId="0" applyNumberFormat="1" applyFont="1" applyBorder="1" applyAlignment="1">
      <alignment horizontal="right"/>
    </xf>
    <xf numFmtId="4" fontId="19" fillId="14" borderId="3" xfId="0" applyNumberFormat="1" applyFont="1" applyFill="1" applyBorder="1"/>
    <xf numFmtId="0" fontId="9" fillId="2" borderId="3" xfId="0" applyFont="1" applyFill="1" applyBorder="1" applyAlignment="1">
      <alignment horizontal="left" shrinkToFit="1"/>
    </xf>
    <xf numFmtId="0" fontId="9" fillId="5" borderId="3" xfId="0" applyFont="1" applyFill="1" applyBorder="1"/>
    <xf numFmtId="4" fontId="9" fillId="16" borderId="3" xfId="0" applyNumberFormat="1" applyFont="1" applyFill="1" applyBorder="1"/>
    <xf numFmtId="0" fontId="11" fillId="2" borderId="3" xfId="0" applyFont="1" applyFill="1" applyBorder="1"/>
    <xf numFmtId="0" fontId="11" fillId="2" borderId="3" xfId="0" applyFont="1" applyFill="1" applyBorder="1" applyAlignment="1">
      <alignment horizontal="left"/>
    </xf>
    <xf numFmtId="4" fontId="18" fillId="15" borderId="3" xfId="0" applyNumberFormat="1" applyFont="1" applyFill="1" applyBorder="1"/>
    <xf numFmtId="0" fontId="18" fillId="2" borderId="3" xfId="0" applyFont="1" applyFill="1" applyBorder="1"/>
    <xf numFmtId="0" fontId="18" fillId="0" borderId="3" xfId="0" applyFont="1" applyBorder="1" applyAlignment="1">
      <alignment horizontal="right"/>
    </xf>
    <xf numFmtId="0" fontId="11" fillId="5" borderId="3" xfId="0" applyFont="1" applyFill="1" applyBorder="1" applyAlignment="1">
      <alignment horizontal="left"/>
    </xf>
    <xf numFmtId="4" fontId="0" fillId="16" borderId="3" xfId="0" applyNumberFormat="1" applyFill="1" applyBorder="1"/>
    <xf numFmtId="0" fontId="9" fillId="16" borderId="3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0" fontId="0" fillId="2" borderId="3" xfId="0" applyFill="1" applyBorder="1"/>
    <xf numFmtId="0" fontId="9" fillId="16" borderId="3" xfId="0" applyFont="1" applyFill="1" applyBorder="1"/>
    <xf numFmtId="0" fontId="0" fillId="16" borderId="3" xfId="0" applyFill="1" applyBorder="1"/>
    <xf numFmtId="0" fontId="18" fillId="16" borderId="3" xfId="0" applyFont="1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11" fillId="16" borderId="3" xfId="0" applyFont="1" applyFill="1" applyBorder="1" applyAlignment="1">
      <alignment horizontal="left" shrinkToFit="1"/>
    </xf>
    <xf numFmtId="4" fontId="11" fillId="5" borderId="3" xfId="0" applyNumberFormat="1" applyFont="1" applyFill="1" applyBorder="1"/>
    <xf numFmtId="0" fontId="0" fillId="5" borderId="0" xfId="0" applyFill="1"/>
    <xf numFmtId="0" fontId="40" fillId="0" borderId="0" xfId="0" applyFont="1"/>
    <xf numFmtId="4" fontId="6" fillId="9" borderId="3" xfId="0" applyNumberFormat="1" applyFont="1" applyFill="1" applyBorder="1" applyAlignment="1">
      <alignment horizontal="right"/>
    </xf>
    <xf numFmtId="4" fontId="3" fillId="20" borderId="3" xfId="0" applyNumberFormat="1" applyFont="1" applyFill="1" applyBorder="1" applyAlignment="1">
      <alignment horizontal="right"/>
    </xf>
    <xf numFmtId="4" fontId="3" fillId="20" borderId="3" xfId="0" applyNumberFormat="1" applyFont="1" applyFill="1" applyBorder="1" applyAlignment="1">
      <alignment horizontal="right" wrapText="1"/>
    </xf>
    <xf numFmtId="0" fontId="28" fillId="0" borderId="0" xfId="0" applyFont="1" applyAlignment="1">
      <alignment vertical="center" wrapText="1"/>
    </xf>
    <xf numFmtId="4" fontId="27" fillId="0" borderId="3" xfId="0" applyNumberFormat="1" applyFont="1" applyBorder="1" applyAlignment="1">
      <alignment horizontal="right"/>
    </xf>
    <xf numFmtId="4" fontId="27" fillId="0" borderId="7" xfId="0" applyNumberFormat="1" applyFont="1" applyBorder="1" applyAlignment="1">
      <alignment horizontal="right"/>
    </xf>
    <xf numFmtId="49" fontId="35" fillId="4" borderId="3" xfId="0" applyNumberFormat="1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4" fontId="11" fillId="3" borderId="4" xfId="0" applyNumberFormat="1" applyFont="1" applyFill="1" applyBorder="1" applyAlignment="1">
      <alignment horizontal="right" shrinkToFit="1"/>
    </xf>
    <xf numFmtId="4" fontId="11" fillId="11" borderId="3" xfId="0" applyNumberFormat="1" applyFont="1" applyFill="1" applyBorder="1"/>
    <xf numFmtId="0" fontId="11" fillId="20" borderId="1" xfId="0" applyFont="1" applyFill="1" applyBorder="1" applyAlignment="1">
      <alignment horizontal="left"/>
    </xf>
    <xf numFmtId="0" fontId="11" fillId="20" borderId="2" xfId="0" applyFont="1" applyFill="1" applyBorder="1" applyAlignment="1">
      <alignment horizontal="left"/>
    </xf>
    <xf numFmtId="0" fontId="11" fillId="20" borderId="4" xfId="0" applyFont="1" applyFill="1" applyBorder="1" applyAlignment="1">
      <alignment horizontal="left"/>
    </xf>
    <xf numFmtId="4" fontId="11" fillId="20" borderId="3" xfId="0" applyNumberFormat="1" applyFont="1" applyFill="1" applyBorder="1" applyAlignment="1">
      <alignment horizontal="right"/>
    </xf>
    <xf numFmtId="4" fontId="11" fillId="3" borderId="3" xfId="0" applyNumberFormat="1" applyFont="1" applyFill="1" applyBorder="1" applyAlignment="1">
      <alignment horizontal="right"/>
    </xf>
    <xf numFmtId="0" fontId="11" fillId="11" borderId="3" xfId="0" applyFont="1" applyFill="1" applyBorder="1"/>
    <xf numFmtId="4" fontId="11" fillId="9" borderId="3" xfId="0" applyNumberFormat="1" applyFont="1" applyFill="1" applyBorder="1" applyAlignment="1">
      <alignment horizontal="right" shrinkToFit="1"/>
    </xf>
    <xf numFmtId="0" fontId="11" fillId="20" borderId="2" xfId="0" applyFont="1" applyFill="1" applyBorder="1" applyAlignment="1">
      <alignment horizontal="left" wrapText="1"/>
    </xf>
    <xf numFmtId="4" fontId="11" fillId="20" borderId="3" xfId="0" applyNumberFormat="1" applyFont="1" applyFill="1" applyBorder="1"/>
    <xf numFmtId="4" fontId="27" fillId="7" borderId="3" xfId="0" applyNumberFormat="1" applyFont="1" applyFill="1" applyBorder="1" applyAlignment="1">
      <alignment horizontal="right"/>
    </xf>
    <xf numFmtId="4" fontId="27" fillId="21" borderId="3" xfId="0" applyNumberFormat="1" applyFont="1" applyFill="1" applyBorder="1" applyAlignment="1">
      <alignment horizontal="right"/>
    </xf>
    <xf numFmtId="4" fontId="26" fillId="9" borderId="3" xfId="0" applyNumberFormat="1" applyFont="1" applyFill="1" applyBorder="1" applyAlignment="1">
      <alignment horizontal="right"/>
    </xf>
    <xf numFmtId="4" fontId="11" fillId="9" borderId="3" xfId="0" applyNumberFormat="1" applyFont="1" applyFill="1" applyBorder="1"/>
    <xf numFmtId="0" fontId="11" fillId="9" borderId="3" xfId="0" applyFont="1" applyFill="1" applyBorder="1"/>
    <xf numFmtId="0" fontId="11" fillId="20" borderId="6" xfId="0" applyFont="1" applyFill="1" applyBorder="1" applyAlignment="1">
      <alignment horizontal="left"/>
    </xf>
    <xf numFmtId="0" fontId="11" fillId="20" borderId="5" xfId="0" applyFont="1" applyFill="1" applyBorder="1" applyAlignment="1">
      <alignment horizontal="left"/>
    </xf>
    <xf numFmtId="0" fontId="11" fillId="20" borderId="11" xfId="0" applyFont="1" applyFill="1" applyBorder="1" applyAlignment="1">
      <alignment horizontal="left"/>
    </xf>
    <xf numFmtId="4" fontId="11" fillId="20" borderId="3" xfId="0" applyNumberFormat="1" applyFont="1" applyFill="1" applyBorder="1" applyAlignment="1">
      <alignment horizontal="right" shrinkToFit="1"/>
    </xf>
    <xf numFmtId="4" fontId="11" fillId="22" borderId="3" xfId="0" applyNumberFormat="1" applyFont="1" applyFill="1" applyBorder="1" applyAlignment="1">
      <alignment horizontal="right" shrinkToFit="1"/>
    </xf>
    <xf numFmtId="4" fontId="11" fillId="0" borderId="3" xfId="0" applyNumberFormat="1" applyFont="1" applyBorder="1" applyAlignment="1">
      <alignment horizontal="right" shrinkToFit="1"/>
    </xf>
    <xf numFmtId="0" fontId="11" fillId="20" borderId="12" xfId="0" applyFont="1" applyFill="1" applyBorder="1" applyAlignment="1">
      <alignment horizontal="right"/>
    </xf>
    <xf numFmtId="4" fontId="27" fillId="21" borderId="7" xfId="0" applyNumberFormat="1" applyFont="1" applyFill="1" applyBorder="1" applyAlignment="1">
      <alignment horizontal="right"/>
    </xf>
    <xf numFmtId="4" fontId="27" fillId="7" borderId="7" xfId="0" applyNumberFormat="1" applyFont="1" applyFill="1" applyBorder="1" applyAlignment="1">
      <alignment horizontal="right"/>
    </xf>
    <xf numFmtId="4" fontId="27" fillId="20" borderId="3" xfId="0" applyNumberFormat="1" applyFont="1" applyFill="1" applyBorder="1" applyAlignment="1">
      <alignment horizontal="right"/>
    </xf>
    <xf numFmtId="0" fontId="11" fillId="9" borderId="6" xfId="0" applyFont="1" applyFill="1" applyBorder="1"/>
    <xf numFmtId="0" fontId="11" fillId="9" borderId="5" xfId="0" applyFont="1" applyFill="1" applyBorder="1"/>
    <xf numFmtId="4" fontId="11" fillId="9" borderId="1" xfId="0" applyNumberFormat="1" applyFont="1" applyFill="1" applyBorder="1"/>
    <xf numFmtId="4" fontId="9" fillId="7" borderId="7" xfId="0" applyNumberFormat="1" applyFont="1" applyFill="1" applyBorder="1" applyAlignment="1">
      <alignment horizontal="right" shrinkToFit="1"/>
    </xf>
    <xf numFmtId="4" fontId="11" fillId="7" borderId="7" xfId="0" applyNumberFormat="1" applyFont="1" applyFill="1" applyBorder="1" applyAlignment="1">
      <alignment horizontal="right" shrinkToFit="1"/>
    </xf>
    <xf numFmtId="4" fontId="11" fillId="0" borderId="7" xfId="0" applyNumberFormat="1" applyFont="1" applyBorder="1" applyAlignment="1">
      <alignment horizontal="right" shrinkToFit="1"/>
    </xf>
    <xf numFmtId="0" fontId="27" fillId="0" borderId="3" xfId="0" applyFont="1" applyBorder="1" applyAlignment="1">
      <alignment wrapText="1"/>
    </xf>
    <xf numFmtId="0" fontId="11" fillId="10" borderId="3" xfId="0" applyFont="1" applyFill="1" applyBorder="1"/>
    <xf numFmtId="0" fontId="27" fillId="10" borderId="3" xfId="0" applyFont="1" applyFill="1" applyBorder="1"/>
    <xf numFmtId="4" fontId="27" fillId="10" borderId="3" xfId="0" applyNumberFormat="1" applyFont="1" applyFill="1" applyBorder="1" applyAlignment="1">
      <alignment horizontal="right"/>
    </xf>
    <xf numFmtId="4" fontId="11" fillId="9" borderId="4" xfId="0" applyNumberFormat="1" applyFont="1" applyFill="1" applyBorder="1" applyAlignment="1">
      <alignment horizontal="right"/>
    </xf>
    <xf numFmtId="4" fontId="11" fillId="11" borderId="3" xfId="0" applyNumberFormat="1" applyFont="1" applyFill="1" applyBorder="1" applyAlignment="1">
      <alignment horizontal="right" shrinkToFit="1"/>
    </xf>
    <xf numFmtId="0" fontId="11" fillId="23" borderId="3" xfId="0" applyFont="1" applyFill="1" applyBorder="1"/>
    <xf numFmtId="0" fontId="27" fillId="23" borderId="3" xfId="0" applyFont="1" applyFill="1" applyBorder="1"/>
    <xf numFmtId="4" fontId="26" fillId="23" borderId="3" xfId="0" applyNumberFormat="1" applyFont="1" applyFill="1" applyBorder="1"/>
    <xf numFmtId="4" fontId="11" fillId="23" borderId="3" xfId="0" applyNumberFormat="1" applyFont="1" applyFill="1" applyBorder="1" applyAlignment="1">
      <alignment horizontal="right" shrinkToFit="1"/>
    </xf>
    <xf numFmtId="4" fontId="11" fillId="23" borderId="3" xfId="0" applyNumberFormat="1" applyFont="1" applyFill="1" applyBorder="1" applyAlignment="1">
      <alignment horizontal="right"/>
    </xf>
    <xf numFmtId="0" fontId="27" fillId="23" borderId="1" xfId="0" applyFont="1" applyFill="1" applyBorder="1"/>
    <xf numFmtId="0" fontId="11" fillId="23" borderId="3" xfId="0" applyFont="1" applyFill="1" applyBorder="1" applyAlignment="1">
      <alignment horizontal="left"/>
    </xf>
    <xf numFmtId="4" fontId="26" fillId="23" borderId="3" xfId="0" applyNumberFormat="1" applyFont="1" applyFill="1" applyBorder="1" applyAlignment="1">
      <alignment horizontal="right"/>
    </xf>
    <xf numFmtId="0" fontId="11" fillId="23" borderId="6" xfId="0" applyFont="1" applyFill="1" applyBorder="1" applyAlignment="1">
      <alignment horizontal="left"/>
    </xf>
    <xf numFmtId="0" fontId="11" fillId="23" borderId="5" xfId="0" applyFont="1" applyFill="1" applyBorder="1" applyAlignment="1">
      <alignment horizontal="left"/>
    </xf>
    <xf numFmtId="4" fontId="26" fillId="23" borderId="12" xfId="0" applyNumberFormat="1" applyFont="1" applyFill="1" applyBorder="1" applyAlignment="1">
      <alignment horizontal="right"/>
    </xf>
    <xf numFmtId="4" fontId="26" fillId="23" borderId="7" xfId="0" applyNumberFormat="1" applyFont="1" applyFill="1" applyBorder="1" applyAlignment="1">
      <alignment horizontal="right"/>
    </xf>
    <xf numFmtId="4" fontId="11" fillId="23" borderId="1" xfId="0" applyNumberFormat="1" applyFont="1" applyFill="1" applyBorder="1"/>
    <xf numFmtId="4" fontId="11" fillId="23" borderId="3" xfId="0" applyNumberFormat="1" applyFont="1" applyFill="1" applyBorder="1"/>
    <xf numFmtId="4" fontId="27" fillId="23" borderId="3" xfId="0" applyNumberFormat="1" applyFont="1" applyFill="1" applyBorder="1" applyAlignment="1">
      <alignment horizontal="right"/>
    </xf>
    <xf numFmtId="0" fontId="11" fillId="23" borderId="5" xfId="0" applyFont="1" applyFill="1" applyBorder="1"/>
    <xf numFmtId="4" fontId="6" fillId="23" borderId="3" xfId="0" applyNumberFormat="1" applyFont="1" applyFill="1" applyBorder="1" applyAlignment="1">
      <alignment horizontal="right"/>
    </xf>
    <xf numFmtId="4" fontId="6" fillId="23" borderId="3" xfId="0" applyNumberFormat="1" applyFont="1" applyFill="1" applyBorder="1" applyAlignment="1">
      <alignment horizontal="right" wrapText="1"/>
    </xf>
    <xf numFmtId="4" fontId="3" fillId="7" borderId="3" xfId="0" applyNumberFormat="1" applyFont="1" applyFill="1" applyBorder="1" applyAlignment="1">
      <alignment horizontal="right" wrapText="1"/>
    </xf>
    <xf numFmtId="4" fontId="11" fillId="7" borderId="3" xfId="0" applyNumberFormat="1" applyFont="1" applyFill="1" applyBorder="1"/>
    <xf numFmtId="0" fontId="27" fillId="5" borderId="0" xfId="0" applyFont="1" applyFill="1"/>
    <xf numFmtId="16" fontId="27" fillId="5" borderId="0" xfId="0" applyNumberFormat="1" applyFont="1" applyFill="1"/>
    <xf numFmtId="0" fontId="11" fillId="7" borderId="12" xfId="0" applyFont="1" applyFill="1" applyBorder="1" applyAlignment="1">
      <alignment horizontal="right"/>
    </xf>
    <xf numFmtId="4" fontId="9" fillId="7" borderId="12" xfId="0" applyNumberFormat="1" applyFont="1" applyFill="1" applyBorder="1" applyAlignment="1">
      <alignment horizontal="right"/>
    </xf>
    <xf numFmtId="4" fontId="9" fillId="22" borderId="3" xfId="0" applyNumberFormat="1" applyFont="1" applyFill="1" applyBorder="1" applyAlignment="1">
      <alignment horizontal="right" shrinkToFit="1"/>
    </xf>
    <xf numFmtId="16" fontId="27" fillId="0" borderId="0" xfId="0" applyNumberFormat="1" applyFont="1"/>
    <xf numFmtId="4" fontId="27" fillId="7" borderId="0" xfId="0" applyNumberFormat="1" applyFont="1" applyFill="1"/>
    <xf numFmtId="0" fontId="11" fillId="7" borderId="3" xfId="0" applyFont="1" applyFill="1" applyBorder="1" applyAlignment="1">
      <alignment horizontal="left"/>
    </xf>
    <xf numFmtId="4" fontId="11" fillId="7" borderId="3" xfId="0" applyNumberFormat="1" applyFont="1" applyFill="1" applyBorder="1" applyAlignment="1">
      <alignment horizontal="right"/>
    </xf>
    <xf numFmtId="0" fontId="27" fillId="7" borderId="0" xfId="0" applyFont="1" applyFill="1"/>
    <xf numFmtId="0" fontId="9" fillId="0" borderId="4" xfId="0" applyFont="1" applyBorder="1" applyAlignment="1">
      <alignment horizontal="left"/>
    </xf>
    <xf numFmtId="4" fontId="9" fillId="0" borderId="12" xfId="0" applyNumberFormat="1" applyFont="1" applyBorder="1" applyAlignment="1">
      <alignment horizontal="right"/>
    </xf>
    <xf numFmtId="0" fontId="25" fillId="0" borderId="0" xfId="0" applyFont="1" applyAlignment="1">
      <alignment horizontal="left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4" fontId="27" fillId="0" borderId="7" xfId="0" applyNumberFormat="1" applyFont="1" applyBorder="1" applyAlignment="1">
      <alignment horizontal="right"/>
    </xf>
    <xf numFmtId="4" fontId="27" fillId="0" borderId="12" xfId="0" applyNumberFormat="1" applyFont="1" applyBorder="1" applyAlignment="1">
      <alignment horizontal="right"/>
    </xf>
    <xf numFmtId="4" fontId="9" fillId="0" borderId="7" xfId="0" applyNumberFormat="1" applyFont="1" applyBorder="1" applyAlignment="1">
      <alignment horizontal="right" shrinkToFit="1"/>
    </xf>
    <xf numFmtId="4" fontId="9" fillId="0" borderId="12" xfId="0" applyNumberFormat="1" applyFont="1" applyBorder="1" applyAlignment="1">
      <alignment horizontal="right" shrinkToFit="1"/>
    </xf>
    <xf numFmtId="4" fontId="3" fillId="2" borderId="7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4" fontId="9" fillId="0" borderId="7" xfId="0" applyNumberFormat="1" applyFont="1" applyBorder="1" applyAlignment="1">
      <alignment horizontal="center"/>
    </xf>
    <xf numFmtId="4" fontId="9" fillId="0" borderId="12" xfId="0" applyNumberFormat="1" applyFont="1" applyBorder="1" applyAlignment="1">
      <alignment horizontal="center"/>
    </xf>
    <xf numFmtId="4" fontId="9" fillId="0" borderId="7" xfId="0" applyNumberFormat="1" applyFont="1" applyBorder="1" applyAlignment="1">
      <alignment horizontal="center" shrinkToFit="1"/>
    </xf>
    <xf numFmtId="4" fontId="9" fillId="0" borderId="12" xfId="0" applyNumberFormat="1" applyFont="1" applyBorder="1" applyAlignment="1">
      <alignment horizontal="center" shrinkToFit="1"/>
    </xf>
    <xf numFmtId="4" fontId="0" fillId="0" borderId="3" xfId="0" applyNumberForma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11" fillId="23" borderId="3" xfId="0" applyFont="1" applyFill="1" applyBorder="1" applyAlignment="1">
      <alignment horizontal="left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shrinkToFit="1"/>
    </xf>
    <xf numFmtId="0" fontId="9" fillId="7" borderId="2" xfId="0" applyFont="1" applyFill="1" applyBorder="1" applyAlignment="1">
      <alignment horizontal="left" shrinkToFit="1"/>
    </xf>
    <xf numFmtId="0" fontId="9" fillId="7" borderId="4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1" fillId="23" borderId="8" xfId="0" applyFont="1" applyFill="1" applyBorder="1" applyAlignment="1">
      <alignment horizontal="left" shrinkToFit="1"/>
    </xf>
    <xf numFmtId="0" fontId="11" fillId="23" borderId="9" xfId="0" applyFont="1" applyFill="1" applyBorder="1" applyAlignment="1">
      <alignment horizontal="left" shrinkToFit="1"/>
    </xf>
    <xf numFmtId="0" fontId="11" fillId="23" borderId="1" xfId="0" applyFont="1" applyFill="1" applyBorder="1" applyAlignment="1">
      <alignment horizontal="left" wrapText="1" shrinkToFit="1"/>
    </xf>
    <xf numFmtId="0" fontId="11" fillId="23" borderId="2" xfId="0" applyFont="1" applyFill="1" applyBorder="1" applyAlignment="1">
      <alignment horizontal="left" wrapText="1" shrinkToFit="1"/>
    </xf>
    <xf numFmtId="0" fontId="11" fillId="23" borderId="4" xfId="0" applyFont="1" applyFill="1" applyBorder="1" applyAlignment="1">
      <alignment horizontal="left" wrapText="1" shrinkToFit="1"/>
    </xf>
    <xf numFmtId="0" fontId="11" fillId="23" borderId="8" xfId="0" applyFont="1" applyFill="1" applyBorder="1" applyAlignment="1">
      <alignment horizontal="left" wrapText="1"/>
    </xf>
    <xf numFmtId="0" fontId="11" fillId="23" borderId="9" xfId="0" applyFont="1" applyFill="1" applyBorder="1" applyAlignment="1">
      <alignment horizontal="left" wrapText="1"/>
    </xf>
    <xf numFmtId="0" fontId="11" fillId="23" borderId="10" xfId="0" applyFont="1" applyFill="1" applyBorder="1" applyAlignment="1">
      <alignment horizontal="left" wrapText="1"/>
    </xf>
    <xf numFmtId="0" fontId="11" fillId="23" borderId="6" xfId="0" applyFont="1" applyFill="1" applyBorder="1" applyAlignment="1">
      <alignment horizontal="left" wrapText="1"/>
    </xf>
    <xf numFmtId="0" fontId="11" fillId="23" borderId="5" xfId="0" applyFont="1" applyFill="1" applyBorder="1" applyAlignment="1">
      <alignment horizontal="left" wrapText="1"/>
    </xf>
    <xf numFmtId="0" fontId="11" fillId="23" borderId="11" xfId="0" applyFont="1" applyFill="1" applyBorder="1" applyAlignment="1">
      <alignment horizontal="left" wrapText="1"/>
    </xf>
    <xf numFmtId="0" fontId="11" fillId="23" borderId="8" xfId="0" applyFont="1" applyFill="1" applyBorder="1" applyAlignment="1">
      <alignment horizontal="left"/>
    </xf>
    <xf numFmtId="0" fontId="11" fillId="23" borderId="9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1" fillId="23" borderId="1" xfId="0" applyFont="1" applyFill="1" applyBorder="1" applyAlignment="1">
      <alignment horizontal="left"/>
    </xf>
    <xf numFmtId="0" fontId="11" fillId="23" borderId="2" xfId="0" applyFont="1" applyFill="1" applyBorder="1" applyAlignment="1">
      <alignment horizontal="left"/>
    </xf>
    <xf numFmtId="0" fontId="11" fillId="23" borderId="4" xfId="0" applyFont="1" applyFill="1" applyBorder="1" applyAlignment="1">
      <alignment horizontal="left"/>
    </xf>
    <xf numFmtId="4" fontId="26" fillId="23" borderId="7" xfId="0" applyNumberFormat="1" applyFont="1" applyFill="1" applyBorder="1" applyAlignment="1">
      <alignment horizontal="right"/>
    </xf>
    <xf numFmtId="4" fontId="26" fillId="23" borderId="14" xfId="0" applyNumberFormat="1" applyFont="1" applyFill="1" applyBorder="1" applyAlignment="1">
      <alignment horizontal="right"/>
    </xf>
    <xf numFmtId="4" fontId="26" fillId="23" borderId="12" xfId="0" applyNumberFormat="1" applyFont="1" applyFill="1" applyBorder="1" applyAlignment="1">
      <alignment horizontal="right"/>
    </xf>
    <xf numFmtId="4" fontId="11" fillId="9" borderId="3" xfId="0" applyNumberFormat="1" applyFont="1" applyFill="1" applyBorder="1" applyAlignment="1">
      <alignment horizontal="right" shrinkToFit="1"/>
    </xf>
    <xf numFmtId="0" fontId="11" fillId="9" borderId="3" xfId="0" applyFont="1" applyFill="1" applyBorder="1" applyAlignment="1">
      <alignment horizontal="right" shrinkToFit="1"/>
    </xf>
    <xf numFmtId="0" fontId="11" fillId="23" borderId="6" xfId="0" applyFont="1" applyFill="1" applyBorder="1" applyAlignment="1">
      <alignment horizontal="left"/>
    </xf>
    <xf numFmtId="0" fontId="11" fillId="23" borderId="5" xfId="0" applyFont="1" applyFill="1" applyBorder="1" applyAlignment="1">
      <alignment horizontal="left"/>
    </xf>
    <xf numFmtId="4" fontId="11" fillId="23" borderId="7" xfId="0" applyNumberFormat="1" applyFont="1" applyFill="1" applyBorder="1" applyAlignment="1">
      <alignment horizontal="right"/>
    </xf>
    <xf numFmtId="0" fontId="11" fillId="23" borderId="12" xfId="0" applyFont="1" applyFill="1" applyBorder="1" applyAlignment="1">
      <alignment horizontal="right"/>
    </xf>
    <xf numFmtId="4" fontId="11" fillId="11" borderId="7" xfId="0" applyNumberFormat="1" applyFont="1" applyFill="1" applyBorder="1" applyAlignment="1">
      <alignment horizontal="right"/>
    </xf>
    <xf numFmtId="0" fontId="11" fillId="11" borderId="12" xfId="0" applyFont="1" applyFill="1" applyBorder="1" applyAlignment="1">
      <alignment horizontal="right"/>
    </xf>
    <xf numFmtId="4" fontId="11" fillId="23" borderId="3" xfId="0" applyNumberFormat="1" applyFont="1" applyFill="1" applyBorder="1"/>
    <xf numFmtId="0" fontId="11" fillId="23" borderId="3" xfId="0" applyFont="1" applyFill="1" applyBorder="1"/>
    <xf numFmtId="0" fontId="11" fillId="23" borderId="10" xfId="0" applyFont="1" applyFill="1" applyBorder="1" applyAlignment="1">
      <alignment horizontal="left" shrinkToFit="1"/>
    </xf>
    <xf numFmtId="0" fontId="11" fillId="9" borderId="1" xfId="0" applyFont="1" applyFill="1" applyBorder="1" applyAlignment="1">
      <alignment horizontal="left" shrinkToFit="1"/>
    </xf>
    <xf numFmtId="0" fontId="11" fillId="9" borderId="2" xfId="0" applyFont="1" applyFill="1" applyBorder="1" applyAlignment="1">
      <alignment horizontal="left" shrinkToFit="1"/>
    </xf>
    <xf numFmtId="0" fontId="11" fillId="9" borderId="4" xfId="0" applyFont="1" applyFill="1" applyBorder="1" applyAlignment="1">
      <alignment horizontal="left" shrinkToFit="1"/>
    </xf>
    <xf numFmtId="0" fontId="11" fillId="23" borderId="1" xfId="0" applyFont="1" applyFill="1" applyBorder="1" applyAlignment="1">
      <alignment horizontal="left" shrinkToFit="1"/>
    </xf>
    <xf numFmtId="0" fontId="11" fillId="23" borderId="2" xfId="0" applyFont="1" applyFill="1" applyBorder="1" applyAlignment="1">
      <alignment horizontal="left" shrinkToFit="1"/>
    </xf>
    <xf numFmtId="0" fontId="11" fillId="23" borderId="4" xfId="0" applyFont="1" applyFill="1" applyBorder="1" applyAlignment="1">
      <alignment horizontal="left" shrinkToFit="1"/>
    </xf>
    <xf numFmtId="0" fontId="11" fillId="3" borderId="1" xfId="0" applyFont="1" applyFill="1" applyBorder="1" applyAlignment="1">
      <alignment horizontal="left" shrinkToFit="1"/>
    </xf>
    <xf numFmtId="0" fontId="11" fillId="3" borderId="2" xfId="0" applyFont="1" applyFill="1" applyBorder="1" applyAlignment="1">
      <alignment horizontal="left" shrinkToFit="1"/>
    </xf>
    <xf numFmtId="0" fontId="11" fillId="23" borderId="1" xfId="0" applyFont="1" applyFill="1" applyBorder="1" applyAlignment="1">
      <alignment horizontal="left" wrapText="1"/>
    </xf>
    <xf numFmtId="0" fontId="11" fillId="23" borderId="2" xfId="0" applyFont="1" applyFill="1" applyBorder="1" applyAlignment="1">
      <alignment horizontal="left" wrapText="1"/>
    </xf>
    <xf numFmtId="0" fontId="11" fillId="23" borderId="4" xfId="0" applyFont="1" applyFill="1" applyBorder="1" applyAlignment="1">
      <alignment horizontal="left" wrapText="1"/>
    </xf>
    <xf numFmtId="0" fontId="9" fillId="7" borderId="1" xfId="0" applyFont="1" applyFill="1" applyBorder="1" applyAlignment="1">
      <alignment horizontal="center" shrinkToFit="1"/>
    </xf>
    <xf numFmtId="0" fontId="9" fillId="7" borderId="2" xfId="0" applyFont="1" applyFill="1" applyBorder="1" applyAlignment="1">
      <alignment horizontal="center" shrinkToFit="1"/>
    </xf>
    <xf numFmtId="0" fontId="9" fillId="7" borderId="4" xfId="0" applyFont="1" applyFill="1" applyBorder="1" applyAlignment="1">
      <alignment horizontal="center" shrinkToFit="1"/>
    </xf>
    <xf numFmtId="0" fontId="11" fillId="9" borderId="1" xfId="0" applyFont="1" applyFill="1" applyBorder="1" applyAlignment="1">
      <alignment horizontal="left"/>
    </xf>
    <xf numFmtId="0" fontId="11" fillId="9" borderId="2" xfId="0" applyFont="1" applyFill="1" applyBorder="1" applyAlignment="1">
      <alignment horizontal="left"/>
    </xf>
    <xf numFmtId="0" fontId="11" fillId="11" borderId="6" xfId="0" applyFont="1" applyFill="1" applyBorder="1" applyAlignment="1">
      <alignment horizontal="left"/>
    </xf>
    <xf numFmtId="0" fontId="11" fillId="11" borderId="5" xfId="0" applyFont="1" applyFill="1" applyBorder="1" applyAlignment="1">
      <alignment horizontal="left"/>
    </xf>
    <xf numFmtId="0" fontId="11" fillId="11" borderId="1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shrinkToFit="1"/>
    </xf>
    <xf numFmtId="0" fontId="11" fillId="11" borderId="1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left"/>
    </xf>
    <xf numFmtId="0" fontId="11" fillId="11" borderId="4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1" fillId="0" borderId="0" xfId="0" applyFont="1" applyAlignment="1">
      <alignment horizontal="center" wrapText="1"/>
    </xf>
    <xf numFmtId="0" fontId="11" fillId="23" borderId="3" xfId="0" applyFont="1" applyFill="1" applyBorder="1" applyAlignment="1">
      <alignment horizontal="left"/>
    </xf>
    <xf numFmtId="0" fontId="11" fillId="23" borderId="11" xfId="0" applyFont="1" applyFill="1" applyBorder="1" applyAlignment="1">
      <alignment horizontal="left"/>
    </xf>
    <xf numFmtId="0" fontId="11" fillId="23" borderId="8" xfId="0" applyFont="1" applyFill="1" applyBorder="1" applyAlignment="1">
      <alignment horizontal="left" vertical="center" wrapText="1" shrinkToFit="1"/>
    </xf>
    <xf numFmtId="0" fontId="11" fillId="23" borderId="9" xfId="0" applyFont="1" applyFill="1" applyBorder="1" applyAlignment="1">
      <alignment horizontal="left" vertical="center" wrapText="1" shrinkToFit="1"/>
    </xf>
    <xf numFmtId="0" fontId="11" fillId="23" borderId="10" xfId="0" applyFont="1" applyFill="1" applyBorder="1" applyAlignment="1">
      <alignment horizontal="left" vertical="center" wrapText="1" shrinkToFit="1"/>
    </xf>
    <xf numFmtId="0" fontId="11" fillId="23" borderId="13" xfId="0" applyFont="1" applyFill="1" applyBorder="1" applyAlignment="1">
      <alignment horizontal="left" vertical="center" wrapText="1" shrinkToFit="1"/>
    </xf>
    <xf numFmtId="0" fontId="11" fillId="23" borderId="0" xfId="0" applyFont="1" applyFill="1" applyAlignment="1">
      <alignment horizontal="left" vertical="center" wrapText="1" shrinkToFit="1"/>
    </xf>
    <xf numFmtId="0" fontId="11" fillId="23" borderId="15" xfId="0" applyFont="1" applyFill="1" applyBorder="1" applyAlignment="1">
      <alignment horizontal="left" vertical="center" wrapText="1" shrinkToFit="1"/>
    </xf>
    <xf numFmtId="0" fontId="11" fillId="23" borderId="6" xfId="0" applyFont="1" applyFill="1" applyBorder="1" applyAlignment="1">
      <alignment horizontal="left" vertical="center" wrapText="1" shrinkToFit="1"/>
    </xf>
    <xf numFmtId="0" fontId="11" fillId="23" borderId="5" xfId="0" applyFont="1" applyFill="1" applyBorder="1" applyAlignment="1">
      <alignment horizontal="left" vertical="center" wrapText="1" shrinkToFit="1"/>
    </xf>
    <xf numFmtId="0" fontId="11" fillId="23" borderId="11" xfId="0" applyFont="1" applyFill="1" applyBorder="1" applyAlignment="1">
      <alignment horizontal="left" vertical="center" wrapText="1" shrinkToFit="1"/>
    </xf>
    <xf numFmtId="0" fontId="11" fillId="20" borderId="1" xfId="0" applyFont="1" applyFill="1" applyBorder="1" applyAlignment="1">
      <alignment horizontal="left" shrinkToFit="1"/>
    </xf>
    <xf numFmtId="0" fontId="11" fillId="20" borderId="2" xfId="0" applyFont="1" applyFill="1" applyBorder="1" applyAlignment="1">
      <alignment horizontal="left" shrinkToFit="1"/>
    </xf>
    <xf numFmtId="0" fontId="11" fillId="20" borderId="4" xfId="0" applyFont="1" applyFill="1" applyBorder="1" applyAlignment="1">
      <alignment horizontal="left" shrinkToFit="1"/>
    </xf>
    <xf numFmtId="0" fontId="11" fillId="11" borderId="1" xfId="0" applyFont="1" applyFill="1" applyBorder="1" applyAlignment="1">
      <alignment horizontal="left" shrinkToFit="1"/>
    </xf>
    <xf numFmtId="0" fontId="11" fillId="11" borderId="2" xfId="0" applyFont="1" applyFill="1" applyBorder="1" applyAlignment="1">
      <alignment horizontal="left" shrinkToFit="1"/>
    </xf>
    <xf numFmtId="0" fontId="11" fillId="11" borderId="4" xfId="0" applyFont="1" applyFill="1" applyBorder="1" applyAlignment="1">
      <alignment horizontal="left" shrinkToFit="1"/>
    </xf>
    <xf numFmtId="4" fontId="11" fillId="23" borderId="3" xfId="0" applyNumberFormat="1" applyFont="1" applyFill="1" applyBorder="1" applyAlignment="1">
      <alignment horizontal="right"/>
    </xf>
    <xf numFmtId="0" fontId="11" fillId="23" borderId="3" xfId="0" applyFont="1" applyFill="1" applyBorder="1" applyAlignment="1">
      <alignment horizontal="right"/>
    </xf>
    <xf numFmtId="0" fontId="11" fillId="9" borderId="8" xfId="0" applyFont="1" applyFill="1" applyBorder="1" applyAlignment="1">
      <alignment horizontal="left" shrinkToFit="1"/>
    </xf>
    <xf numFmtId="0" fontId="11" fillId="9" borderId="9" xfId="0" applyFont="1" applyFill="1" applyBorder="1" applyAlignment="1">
      <alignment horizontal="left" shrinkToFit="1"/>
    </xf>
    <xf numFmtId="0" fontId="11" fillId="23" borderId="3" xfId="0" applyFont="1" applyFill="1" applyBorder="1" applyAlignment="1">
      <alignment horizontal="left" shrinkToFit="1"/>
    </xf>
    <xf numFmtId="4" fontId="26" fillId="23" borderId="3" xfId="0" applyNumberFormat="1" applyFont="1" applyFill="1" applyBorder="1" applyAlignment="1">
      <alignment horizontal="right"/>
    </xf>
    <xf numFmtId="0" fontId="26" fillId="23" borderId="3" xfId="0" applyFont="1" applyFill="1" applyBorder="1" applyAlignment="1">
      <alignment horizontal="right"/>
    </xf>
    <xf numFmtId="4" fontId="11" fillId="11" borderId="3" xfId="0" applyNumberFormat="1" applyFont="1" applyFill="1" applyBorder="1" applyAlignment="1">
      <alignment horizontal="right"/>
    </xf>
    <xf numFmtId="0" fontId="11" fillId="11" borderId="3" xfId="0" applyFont="1" applyFill="1" applyBorder="1" applyAlignment="1">
      <alignment horizontal="right"/>
    </xf>
    <xf numFmtId="0" fontId="11" fillId="9" borderId="4" xfId="0" applyFont="1" applyFill="1" applyBorder="1" applyAlignment="1">
      <alignment horizontal="left"/>
    </xf>
    <xf numFmtId="0" fontId="11" fillId="23" borderId="10" xfId="0" applyFont="1" applyFill="1" applyBorder="1" applyAlignment="1">
      <alignment horizontal="left"/>
    </xf>
    <xf numFmtId="0" fontId="11" fillId="9" borderId="3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1" xfId="0" applyFont="1" applyFill="1" applyBorder="1" applyAlignment="1">
      <alignment horizontal="left"/>
    </xf>
    <xf numFmtId="0" fontId="11" fillId="17" borderId="1" xfId="0" applyFont="1" applyFill="1" applyBorder="1" applyAlignment="1">
      <alignment horizontal="left"/>
    </xf>
    <xf numFmtId="0" fontId="11" fillId="17" borderId="2" xfId="0" applyFont="1" applyFill="1" applyBorder="1" applyAlignment="1">
      <alignment horizontal="left"/>
    </xf>
    <xf numFmtId="0" fontId="9" fillId="0" borderId="3" xfId="0" applyFont="1" applyBorder="1" applyAlignment="1">
      <alignment horizontal="left"/>
    </xf>
    <xf numFmtId="4" fontId="1" fillId="17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4" fontId="1" fillId="0" borderId="3" xfId="0" applyNumberFormat="1" applyFont="1" applyBorder="1" applyAlignment="1">
      <alignment horizontal="right"/>
    </xf>
    <xf numFmtId="0" fontId="11" fillId="8" borderId="3" xfId="0" applyFont="1" applyFill="1" applyBorder="1" applyAlignment="1">
      <alignment shrinkToFit="1"/>
    </xf>
    <xf numFmtId="0" fontId="11" fillId="8" borderId="1" xfId="0" applyFont="1" applyFill="1" applyBorder="1" applyAlignment="1">
      <alignment shrinkToFit="1"/>
    </xf>
    <xf numFmtId="0" fontId="17" fillId="5" borderId="1" xfId="0" applyFont="1" applyFill="1" applyBorder="1" applyAlignment="1">
      <alignment horizontal="left"/>
    </xf>
    <xf numFmtId="0" fontId="17" fillId="5" borderId="2" xfId="0" applyFont="1" applyFill="1" applyBorder="1" applyAlignment="1">
      <alignment horizontal="left"/>
    </xf>
    <xf numFmtId="0" fontId="17" fillId="5" borderId="4" xfId="0" applyFont="1" applyFill="1" applyBorder="1" applyAlignment="1">
      <alignment horizontal="left"/>
    </xf>
    <xf numFmtId="0" fontId="11" fillId="17" borderId="8" xfId="0" applyFont="1" applyFill="1" applyBorder="1" applyAlignment="1">
      <alignment horizontal="left" shrinkToFit="1"/>
    </xf>
    <xf numFmtId="0" fontId="11" fillId="17" borderId="9" xfId="0" applyFont="1" applyFill="1" applyBorder="1" applyAlignment="1">
      <alignment horizontal="left" shrinkToFit="1"/>
    </xf>
    <xf numFmtId="0" fontId="11" fillId="17" borderId="10" xfId="0" applyFont="1" applyFill="1" applyBorder="1" applyAlignment="1">
      <alignment horizontal="left" shrinkToFit="1"/>
    </xf>
    <xf numFmtId="0" fontId="11" fillId="17" borderId="6" xfId="0" applyFont="1" applyFill="1" applyBorder="1" applyAlignment="1">
      <alignment horizontal="left" shrinkToFit="1"/>
    </xf>
    <xf numFmtId="0" fontId="11" fillId="17" borderId="5" xfId="0" applyFont="1" applyFill="1" applyBorder="1" applyAlignment="1">
      <alignment horizontal="left" shrinkToFit="1"/>
    </xf>
    <xf numFmtId="0" fontId="11" fillId="17" borderId="11" xfId="0" applyFont="1" applyFill="1" applyBorder="1" applyAlignment="1">
      <alignment horizontal="left" shrinkToFit="1"/>
    </xf>
    <xf numFmtId="0" fontId="11" fillId="0" borderId="3" xfId="0" applyFont="1" applyBorder="1" applyAlignment="1">
      <alignment horizontal="left"/>
    </xf>
    <xf numFmtId="0" fontId="11" fillId="6" borderId="3" xfId="0" applyFont="1" applyFill="1" applyBorder="1" applyAlignment="1">
      <alignment horizontal="left" shrinkToFit="1"/>
    </xf>
    <xf numFmtId="0" fontId="11" fillId="15" borderId="3" xfId="0" applyFont="1" applyFill="1" applyBorder="1" applyAlignment="1">
      <alignment horizontal="left" shrinkToFit="1"/>
    </xf>
    <xf numFmtId="0" fontId="11" fillId="16" borderId="3" xfId="0" applyFont="1" applyFill="1" applyBorder="1" applyAlignment="1">
      <alignment horizontal="left" shrinkToFit="1"/>
    </xf>
    <xf numFmtId="0" fontId="11" fillId="16" borderId="3" xfId="0" applyFont="1" applyFill="1" applyBorder="1" applyAlignment="1">
      <alignment horizontal="left"/>
    </xf>
    <xf numFmtId="0" fontId="9" fillId="0" borderId="3" xfId="0" applyFont="1" applyBorder="1" applyAlignment="1">
      <alignment horizontal="left" shrinkToFit="1"/>
    </xf>
    <xf numFmtId="0" fontId="18" fillId="14" borderId="3" xfId="0" applyFont="1" applyFill="1" applyBorder="1" applyAlignment="1">
      <alignment shrinkToFit="1"/>
    </xf>
    <xf numFmtId="0" fontId="11" fillId="6" borderId="3" xfId="0" applyFont="1" applyFill="1" applyBorder="1" applyAlignment="1">
      <alignment horizontal="left"/>
    </xf>
    <xf numFmtId="0" fontId="11" fillId="15" borderId="3" xfId="0" applyFont="1" applyFill="1" applyBorder="1" applyAlignment="1">
      <alignment horizontal="left" wrapText="1"/>
    </xf>
    <xf numFmtId="0" fontId="11" fillId="5" borderId="3" xfId="0" applyFont="1" applyFill="1" applyBorder="1" applyAlignment="1">
      <alignment horizontal="left" shrinkToFit="1"/>
    </xf>
    <xf numFmtId="0" fontId="11" fillId="15" borderId="3" xfId="0" applyFont="1" applyFill="1" applyBorder="1" applyAlignment="1">
      <alignment shrinkToFit="1"/>
    </xf>
    <xf numFmtId="0" fontId="7" fillId="15" borderId="3" xfId="0" applyFont="1" applyFill="1" applyBorder="1" applyAlignment="1">
      <alignment horizontal="left" shrinkToFit="1"/>
    </xf>
    <xf numFmtId="0" fontId="11" fillId="2" borderId="3" xfId="0" applyFont="1" applyFill="1" applyBorder="1" applyAlignment="1">
      <alignment horizontal="left"/>
    </xf>
    <xf numFmtId="0" fontId="11" fillId="10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4" fontId="11" fillId="0" borderId="0" xfId="0" applyNumberFormat="1" applyFont="1" applyAlignment="1">
      <alignment horizontal="right"/>
    </xf>
    <xf numFmtId="0" fontId="9" fillId="7" borderId="3" xfId="0" applyFont="1" applyFill="1" applyBorder="1" applyAlignment="1">
      <alignment horizontal="left"/>
    </xf>
    <xf numFmtId="4" fontId="11" fillId="15" borderId="3" xfId="0" applyNumberFormat="1" applyFont="1" applyFill="1" applyBorder="1" applyAlignment="1">
      <alignment horizontal="right"/>
    </xf>
    <xf numFmtId="0" fontId="11" fillId="0" borderId="3" xfId="0" applyFont="1" applyBorder="1" applyAlignment="1">
      <alignment horizontal="left" shrinkToFit="1"/>
    </xf>
    <xf numFmtId="0" fontId="11" fillId="0" borderId="3" xfId="0" applyFont="1" applyBorder="1" applyAlignment="1">
      <alignment horizontal="center"/>
    </xf>
    <xf numFmtId="0" fontId="11" fillId="15" borderId="3" xfId="0" applyFont="1" applyFill="1" applyBorder="1" applyAlignment="1">
      <alignment horizontal="left"/>
    </xf>
    <xf numFmtId="0" fontId="11" fillId="0" borderId="3" xfId="0" applyFont="1" applyBorder="1" applyAlignment="1">
      <alignment shrinkToFit="1"/>
    </xf>
    <xf numFmtId="0" fontId="0" fillId="0" borderId="3" xfId="0" applyBorder="1" applyAlignment="1">
      <alignment shrinkToFit="1"/>
    </xf>
    <xf numFmtId="0" fontId="11" fillId="16" borderId="3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/>
    </xf>
    <xf numFmtId="4" fontId="11" fillId="6" borderId="3" xfId="0" applyNumberFormat="1" applyFont="1" applyFill="1" applyBorder="1" applyAlignment="1">
      <alignment horizontal="right"/>
    </xf>
    <xf numFmtId="0" fontId="18" fillId="15" borderId="3" xfId="0" applyFont="1" applyFill="1" applyBorder="1" applyAlignment="1">
      <alignment horizontal="left" shrinkToFit="1"/>
    </xf>
    <xf numFmtId="0" fontId="11" fillId="5" borderId="3" xfId="0" applyFont="1" applyFill="1" applyBorder="1" applyAlignment="1">
      <alignment horizontal="left"/>
    </xf>
    <xf numFmtId="0" fontId="18" fillId="16" borderId="3" xfId="0" applyFont="1" applyFill="1" applyBorder="1" applyAlignment="1">
      <alignment horizontal="left" shrinkToFit="1"/>
    </xf>
    <xf numFmtId="0" fontId="9" fillId="2" borderId="3" xfId="0" applyFont="1" applyFill="1" applyBorder="1" applyAlignment="1">
      <alignment horizontal="left" shrinkToFit="1"/>
    </xf>
    <xf numFmtId="4" fontId="18" fillId="14" borderId="3" xfId="0" applyNumberFormat="1" applyFont="1" applyFill="1" applyBorder="1" applyAlignment="1">
      <alignment horizontal="right"/>
    </xf>
    <xf numFmtId="0" fontId="18" fillId="14" borderId="3" xfId="0" applyFont="1" applyFill="1" applyBorder="1" applyAlignment="1">
      <alignment horizontal="left"/>
    </xf>
    <xf numFmtId="0" fontId="11" fillId="18" borderId="3" xfId="0" applyFont="1" applyFill="1" applyBorder="1" applyAlignment="1">
      <alignment horizontal="left"/>
    </xf>
    <xf numFmtId="0" fontId="11" fillId="19" borderId="3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24" fillId="2" borderId="0" xfId="0" applyFont="1" applyFill="1"/>
    <xf numFmtId="4" fontId="24" fillId="2" borderId="0" xfId="0" applyNumberFormat="1" applyFont="1" applyFill="1"/>
    <xf numFmtId="0" fontId="25" fillId="2" borderId="0" xfId="0" applyFont="1" applyFill="1"/>
  </cellXfs>
  <cellStyles count="2">
    <cellStyle name="Normalno" xfId="0" builtinId="0"/>
    <cellStyle name="Normalno 4" xfId="1" xr:uid="{03C12450-20C9-43C8-BA9C-D1D3CA45460F}"/>
  </cellStyles>
  <dxfs count="0"/>
  <tableStyles count="0" defaultTableStyle="TableStyleMedium2" defaultPivotStyle="PivotStyleLight16"/>
  <colors>
    <mruColors>
      <color rgb="FFFFFF00"/>
      <color rgb="FFFFCC66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esktop\OP&#262;INA\PRORA&#268;UN\2024\1.%20izmjene\Prijedlog%201.%20izmjene.xlsx" TargetMode="External"/><Relationship Id="rId1" Type="http://schemas.openxmlformats.org/officeDocument/2006/relationships/externalLinkPath" Target="/Users/Korisnik/Desktop/OP&#262;INA/PRORA&#268;UN/2024/1.%20izmjene/Prijedlog%201.%20izmj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orisnik\Desktop\OP&#262;INA\PRORA&#268;UN\2024\2.%20Izmjene\Prijedlog%202.%20izmjene.xlsx" TargetMode="External"/><Relationship Id="rId1" Type="http://schemas.openxmlformats.org/officeDocument/2006/relationships/externalLinkPath" Target="/Users/Korisnik/Desktop/OP&#262;INA/PRORA&#268;UN/2024/2.%20Izmjene/Prijedlog%202.%20izmje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Prenesena sredstva "/>
      <sheetName val="POSEBNI DIO"/>
      <sheetName val="Prihodi radni primjer"/>
      <sheetName val="List1"/>
      <sheetName val="Rashodi radni primje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/>
          <cell r="I3">
            <v>2071120.11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ŽETAK"/>
      <sheetName val=" Račun prihoda i rashoda"/>
      <sheetName val="Prihodi i rashodi po izvorima"/>
      <sheetName val="Rashodi prema funkcijskoj kl"/>
      <sheetName val="Račun financiranja"/>
      <sheetName val="POSEBNI DIO"/>
      <sheetName val="ne"/>
      <sheetName val="Prihodi radni primjer"/>
      <sheetName val="Rashodi radni primjer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K3">
            <v>2097990.1100000003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zoomScaleNormal="100" workbookViewId="0">
      <selection activeCell="A13" sqref="A13:J13"/>
    </sheetView>
  </sheetViews>
  <sheetFormatPr defaultRowHeight="15" x14ac:dyDescent="0.25"/>
  <cols>
    <col min="5" max="5" width="22.140625" customWidth="1"/>
    <col min="6" max="10" width="25.28515625" customWidth="1"/>
  </cols>
  <sheetData>
    <row r="1" spans="1:11" x14ac:dyDescent="0.25">
      <c r="I1" s="31" t="s">
        <v>42</v>
      </c>
    </row>
    <row r="3" spans="1:11" ht="30.75" customHeight="1" x14ac:dyDescent="0.25">
      <c r="A3" s="400" t="s">
        <v>837</v>
      </c>
      <c r="B3" s="400"/>
      <c r="C3" s="400"/>
      <c r="D3" s="400"/>
      <c r="E3" s="400"/>
      <c r="F3" s="400"/>
      <c r="G3" s="400"/>
      <c r="H3" s="400"/>
      <c r="I3" s="400"/>
      <c r="J3" s="400"/>
    </row>
    <row r="5" spans="1:11" ht="42" customHeight="1" x14ac:dyDescent="0.25">
      <c r="A5" s="405" t="s">
        <v>900</v>
      </c>
      <c r="B5" s="405"/>
      <c r="C5" s="405"/>
      <c r="D5" s="405"/>
      <c r="E5" s="405"/>
      <c r="F5" s="405"/>
      <c r="G5" s="405"/>
      <c r="H5" s="405"/>
      <c r="I5" s="405"/>
      <c r="J5" s="405"/>
    </row>
    <row r="6" spans="1:11" ht="18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</row>
    <row r="7" spans="1:11" ht="15.75" x14ac:dyDescent="0.25">
      <c r="A7" s="405" t="s">
        <v>29</v>
      </c>
      <c r="B7" s="405"/>
      <c r="C7" s="405"/>
      <c r="D7" s="405"/>
      <c r="E7" s="405"/>
      <c r="F7" s="405"/>
      <c r="G7" s="405"/>
      <c r="H7" s="405"/>
      <c r="I7" s="406"/>
      <c r="J7" s="406"/>
    </row>
    <row r="8" spans="1:11" ht="15.75" x14ac:dyDescent="0.25">
      <c r="A8" s="30"/>
      <c r="B8" s="30"/>
      <c r="C8" s="30"/>
      <c r="D8" s="30"/>
      <c r="E8" s="30"/>
      <c r="F8" s="30"/>
      <c r="G8" s="30"/>
      <c r="H8" s="30"/>
      <c r="I8" s="168"/>
      <c r="J8" s="168"/>
    </row>
    <row r="9" spans="1:11" x14ac:dyDescent="0.25">
      <c r="A9" s="411" t="s">
        <v>551</v>
      </c>
      <c r="B9" s="411"/>
      <c r="C9" s="411"/>
      <c r="D9" s="411"/>
      <c r="E9" s="411"/>
      <c r="F9" s="411"/>
      <c r="G9" s="411"/>
      <c r="H9" s="411"/>
      <c r="I9" s="411"/>
      <c r="J9" s="411"/>
    </row>
    <row r="10" spans="1:11" ht="18" x14ac:dyDescent="0.25">
      <c r="A10" s="5"/>
      <c r="B10" s="5"/>
      <c r="C10" s="5"/>
      <c r="D10" s="5"/>
      <c r="E10" s="5"/>
      <c r="F10" s="5"/>
      <c r="G10" s="5"/>
      <c r="H10" s="5"/>
      <c r="I10" s="6"/>
      <c r="J10" s="6"/>
    </row>
    <row r="11" spans="1:11" s="118" customFormat="1" ht="14.25" x14ac:dyDescent="0.2">
      <c r="A11" s="412" t="s">
        <v>901</v>
      </c>
      <c r="B11" s="412"/>
      <c r="C11" s="412"/>
      <c r="D11" s="412"/>
      <c r="E11" s="412"/>
      <c r="F11" s="412"/>
      <c r="G11" s="412"/>
      <c r="H11" s="412"/>
      <c r="I11" s="412"/>
      <c r="J11" s="412"/>
    </row>
    <row r="12" spans="1:11" ht="18" x14ac:dyDescent="0.25">
      <c r="A12" s="5"/>
      <c r="B12" s="5"/>
      <c r="C12" s="5"/>
      <c r="D12" s="5"/>
      <c r="E12" s="5"/>
      <c r="F12" s="5"/>
      <c r="G12" s="5"/>
      <c r="H12" s="5"/>
      <c r="I12" s="325"/>
      <c r="J12" s="325"/>
      <c r="K12" s="321"/>
    </row>
    <row r="13" spans="1:11" ht="18" customHeight="1" x14ac:dyDescent="0.25">
      <c r="A13" s="405" t="s">
        <v>38</v>
      </c>
      <c r="B13" s="419"/>
      <c r="C13" s="419"/>
      <c r="D13" s="419"/>
      <c r="E13" s="419"/>
      <c r="F13" s="419"/>
      <c r="G13" s="419"/>
      <c r="H13" s="419"/>
      <c r="I13" s="419"/>
      <c r="J13" s="419"/>
    </row>
    <row r="14" spans="1:11" ht="18" x14ac:dyDescent="0.25">
      <c r="A14" s="1"/>
      <c r="B14" s="2"/>
      <c r="C14" s="2"/>
      <c r="D14" s="2"/>
      <c r="E14" s="7"/>
      <c r="F14" s="8"/>
      <c r="G14" s="8"/>
      <c r="H14" s="8"/>
      <c r="I14" s="8"/>
      <c r="J14" s="25" t="s">
        <v>355</v>
      </c>
    </row>
    <row r="15" spans="1:11" ht="25.5" x14ac:dyDescent="0.25">
      <c r="A15" s="21"/>
      <c r="B15" s="22"/>
      <c r="C15" s="22"/>
      <c r="D15" s="23"/>
      <c r="E15" s="24"/>
      <c r="F15" s="4" t="s">
        <v>643</v>
      </c>
      <c r="G15" s="4" t="s">
        <v>644</v>
      </c>
      <c r="H15" s="4" t="s">
        <v>645</v>
      </c>
      <c r="I15" s="4" t="s">
        <v>356</v>
      </c>
      <c r="J15" s="4" t="s">
        <v>646</v>
      </c>
    </row>
    <row r="16" spans="1:11" x14ac:dyDescent="0.25">
      <c r="A16" s="407" t="s">
        <v>0</v>
      </c>
      <c r="B16" s="404"/>
      <c r="C16" s="404"/>
      <c r="D16" s="404"/>
      <c r="E16" s="408"/>
      <c r="F16" s="32">
        <f t="shared" ref="F16:J16" si="0">F17+F18</f>
        <v>1168877.92</v>
      </c>
      <c r="G16" s="32">
        <f t="shared" ref="G16" si="1">G17+G18</f>
        <v>1815023</v>
      </c>
      <c r="H16" s="32">
        <f>H17+H18</f>
        <v>2044186</v>
      </c>
      <c r="I16" s="32">
        <f t="shared" si="0"/>
        <v>2134601</v>
      </c>
      <c r="J16" s="32">
        <f t="shared" si="0"/>
        <v>2119540</v>
      </c>
      <c r="K16" s="33"/>
    </row>
    <row r="17" spans="1:11" x14ac:dyDescent="0.25">
      <c r="A17" s="409" t="s">
        <v>1</v>
      </c>
      <c r="B17" s="410"/>
      <c r="C17" s="410"/>
      <c r="D17" s="410"/>
      <c r="E17" s="402"/>
      <c r="F17" s="34">
        <v>1168872.44</v>
      </c>
      <c r="G17" s="34">
        <v>1814523</v>
      </c>
      <c r="H17" s="34">
        <f>1957936+85750</f>
        <v>2043686</v>
      </c>
      <c r="I17" s="34">
        <v>2134101</v>
      </c>
      <c r="J17" s="34">
        <v>2119040</v>
      </c>
      <c r="K17" s="33"/>
    </row>
    <row r="18" spans="1:11" x14ac:dyDescent="0.25">
      <c r="A18" s="401" t="s">
        <v>2</v>
      </c>
      <c r="B18" s="402"/>
      <c r="C18" s="402"/>
      <c r="D18" s="402"/>
      <c r="E18" s="402"/>
      <c r="F18" s="34">
        <v>5.48</v>
      </c>
      <c r="G18" s="34">
        <v>500</v>
      </c>
      <c r="H18" s="34">
        <v>500</v>
      </c>
      <c r="I18" s="34">
        <v>500</v>
      </c>
      <c r="J18" s="34">
        <v>500</v>
      </c>
      <c r="K18" s="33"/>
    </row>
    <row r="19" spans="1:11" x14ac:dyDescent="0.25">
      <c r="A19" s="26" t="s">
        <v>3</v>
      </c>
      <c r="B19" s="27"/>
      <c r="C19" s="27"/>
      <c r="D19" s="27"/>
      <c r="E19" s="27"/>
      <c r="F19" s="32">
        <f t="shared" ref="F19:J19" si="2">F20+F21</f>
        <v>1172827.8599999999</v>
      </c>
      <c r="G19" s="32">
        <f t="shared" ref="G19" si="3">G20+G21</f>
        <v>2097990.1100000003</v>
      </c>
      <c r="H19" s="32">
        <f t="shared" si="2"/>
        <v>2244186</v>
      </c>
      <c r="I19" s="32">
        <f t="shared" si="2"/>
        <v>2134601</v>
      </c>
      <c r="J19" s="32">
        <f t="shared" si="2"/>
        <v>2119540</v>
      </c>
      <c r="K19" s="33"/>
    </row>
    <row r="20" spans="1:11" x14ac:dyDescent="0.25">
      <c r="A20" s="418" t="s">
        <v>4</v>
      </c>
      <c r="B20" s="410"/>
      <c r="C20" s="410"/>
      <c r="D20" s="410"/>
      <c r="E20" s="410"/>
      <c r="F20" s="34">
        <v>882248.95</v>
      </c>
      <c r="G20" s="34">
        <v>1171990.1100000001</v>
      </c>
      <c r="H20" s="34">
        <v>1249436</v>
      </c>
      <c r="I20" s="34">
        <v>1381321</v>
      </c>
      <c r="J20" s="127">
        <v>1342640</v>
      </c>
      <c r="K20" s="33"/>
    </row>
    <row r="21" spans="1:11" x14ac:dyDescent="0.25">
      <c r="A21" s="401" t="s">
        <v>5</v>
      </c>
      <c r="B21" s="402"/>
      <c r="C21" s="402"/>
      <c r="D21" s="402"/>
      <c r="E21" s="402"/>
      <c r="F21" s="34">
        <v>290578.90999999997</v>
      </c>
      <c r="G21" s="34">
        <v>926000</v>
      </c>
      <c r="H21" s="34">
        <f>909000+85750</f>
        <v>994750</v>
      </c>
      <c r="I21" s="34">
        <v>753280</v>
      </c>
      <c r="J21" s="127">
        <v>776900</v>
      </c>
      <c r="K21" s="33"/>
    </row>
    <row r="22" spans="1:11" x14ac:dyDescent="0.25">
      <c r="A22" s="403" t="s">
        <v>6</v>
      </c>
      <c r="B22" s="404"/>
      <c r="C22" s="404"/>
      <c r="D22" s="404"/>
      <c r="E22" s="404"/>
      <c r="F22" s="32">
        <f>F16-F19</f>
        <v>-3949.9399999999441</v>
      </c>
      <c r="G22" s="32">
        <f t="shared" ref="G22" si="4">G16-G19</f>
        <v>-282967.11000000034</v>
      </c>
      <c r="H22" s="32">
        <f>H16-H19</f>
        <v>-200000</v>
      </c>
      <c r="I22" s="32">
        <f t="shared" ref="I22:J22" si="5">I16-I19</f>
        <v>0</v>
      </c>
      <c r="J22" s="32">
        <f t="shared" si="5"/>
        <v>0</v>
      </c>
      <c r="K22" s="33"/>
    </row>
    <row r="23" spans="1:11" ht="18" x14ac:dyDescent="0.25">
      <c r="A23" s="5"/>
      <c r="B23" s="9"/>
      <c r="C23" s="9"/>
      <c r="D23" s="9"/>
      <c r="E23" s="9"/>
      <c r="F23" s="9"/>
      <c r="G23" s="9"/>
      <c r="H23" s="126"/>
      <c r="I23" s="3"/>
      <c r="J23" s="3"/>
    </row>
    <row r="24" spans="1:11" ht="18" customHeight="1" x14ac:dyDescent="0.25">
      <c r="A24" s="405" t="s">
        <v>37</v>
      </c>
      <c r="B24" s="419"/>
      <c r="C24" s="419"/>
      <c r="D24" s="419"/>
      <c r="E24" s="419"/>
      <c r="F24" s="419"/>
      <c r="G24" s="419"/>
      <c r="H24" s="419"/>
      <c r="I24" s="419"/>
      <c r="J24" s="419"/>
    </row>
    <row r="25" spans="1:11" ht="18" x14ac:dyDescent="0.25">
      <c r="A25" s="5"/>
      <c r="B25" s="9"/>
      <c r="C25" s="9"/>
      <c r="D25" s="9"/>
      <c r="E25" s="9"/>
      <c r="F25" s="9"/>
      <c r="G25" s="9"/>
      <c r="H25" s="3"/>
      <c r="I25" s="3"/>
      <c r="J25" s="3"/>
    </row>
    <row r="26" spans="1:11" ht="25.5" x14ac:dyDescent="0.25">
      <c r="A26" s="21"/>
      <c r="B26" s="22"/>
      <c r="C26" s="22"/>
      <c r="D26" s="23"/>
      <c r="E26" s="24"/>
      <c r="F26" s="4" t="s">
        <v>643</v>
      </c>
      <c r="G26" s="4" t="s">
        <v>644</v>
      </c>
      <c r="H26" s="4" t="s">
        <v>645</v>
      </c>
      <c r="I26" s="4" t="s">
        <v>356</v>
      </c>
      <c r="J26" s="4" t="s">
        <v>646</v>
      </c>
    </row>
    <row r="27" spans="1:11" x14ac:dyDescent="0.25">
      <c r="A27" s="401" t="s">
        <v>358</v>
      </c>
      <c r="B27" s="402"/>
      <c r="C27" s="402"/>
      <c r="D27" s="402"/>
      <c r="E27" s="402"/>
      <c r="F27" s="20"/>
      <c r="G27" s="20"/>
      <c r="H27" s="20"/>
      <c r="I27" s="20"/>
      <c r="J27" s="142"/>
    </row>
    <row r="28" spans="1:11" x14ac:dyDescent="0.25">
      <c r="A28" s="401" t="s">
        <v>359</v>
      </c>
      <c r="B28" s="402"/>
      <c r="C28" s="402"/>
      <c r="D28" s="402"/>
      <c r="E28" s="402"/>
      <c r="F28" s="20"/>
      <c r="G28" s="20"/>
      <c r="H28" s="20"/>
      <c r="I28" s="20"/>
      <c r="J28" s="142"/>
    </row>
    <row r="29" spans="1:11" x14ac:dyDescent="0.25">
      <c r="A29" s="403" t="s">
        <v>8</v>
      </c>
      <c r="B29" s="404"/>
      <c r="C29" s="404"/>
      <c r="D29" s="404"/>
      <c r="E29" s="404"/>
      <c r="F29" s="32">
        <f>F27-F28</f>
        <v>0</v>
      </c>
      <c r="G29" s="32">
        <f t="shared" ref="G29:J29" si="6">G27-G28</f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</row>
    <row r="30" spans="1:11" x14ac:dyDescent="0.25">
      <c r="A30" s="403" t="s">
        <v>9</v>
      </c>
      <c r="B30" s="404"/>
      <c r="C30" s="404"/>
      <c r="D30" s="404"/>
      <c r="E30" s="404"/>
      <c r="F30" s="32">
        <f>F22+F29</f>
        <v>-3949.9399999999441</v>
      </c>
      <c r="G30" s="32">
        <f t="shared" ref="G30:J30" si="7">G22+G29</f>
        <v>-282967.11000000034</v>
      </c>
      <c r="H30" s="32">
        <f>H22+H29</f>
        <v>-200000</v>
      </c>
      <c r="I30" s="32">
        <f t="shared" si="7"/>
        <v>0</v>
      </c>
      <c r="J30" s="32">
        <f t="shared" si="7"/>
        <v>0</v>
      </c>
    </row>
    <row r="31" spans="1:11" ht="18" x14ac:dyDescent="0.25">
      <c r="A31" s="18"/>
      <c r="B31" s="9"/>
      <c r="C31" s="9"/>
      <c r="D31" s="9"/>
      <c r="E31" s="9"/>
      <c r="F31" s="9"/>
      <c r="G31" s="9"/>
      <c r="H31" s="3"/>
      <c r="I31" s="3"/>
      <c r="J31" s="3"/>
    </row>
    <row r="32" spans="1:11" ht="18" customHeight="1" x14ac:dyDescent="0.25">
      <c r="A32" s="405" t="s">
        <v>357</v>
      </c>
      <c r="B32" s="419"/>
      <c r="C32" s="419"/>
      <c r="D32" s="419"/>
      <c r="E32" s="419"/>
      <c r="F32" s="419"/>
      <c r="G32" s="419"/>
      <c r="H32" s="419"/>
      <c r="I32" s="419"/>
      <c r="J32" s="419"/>
    </row>
    <row r="33" spans="1:10" ht="18" customHeight="1" x14ac:dyDescent="0.25">
      <c r="A33" s="30"/>
      <c r="B33" s="138"/>
      <c r="C33" s="138"/>
      <c r="D33" s="138"/>
      <c r="E33" s="138"/>
      <c r="F33" s="138"/>
      <c r="G33" s="138"/>
      <c r="H33" s="138"/>
      <c r="I33" s="138"/>
      <c r="J33" s="138"/>
    </row>
    <row r="34" spans="1:10" ht="25.5" x14ac:dyDescent="0.25">
      <c r="A34" s="21"/>
      <c r="B34" s="22"/>
      <c r="C34" s="22"/>
      <c r="D34" s="23"/>
      <c r="E34" s="24"/>
      <c r="F34" s="4" t="s">
        <v>643</v>
      </c>
      <c r="G34" s="4" t="s">
        <v>644</v>
      </c>
      <c r="H34" s="4" t="s">
        <v>645</v>
      </c>
      <c r="I34" s="4" t="s">
        <v>356</v>
      </c>
      <c r="J34" s="4" t="s">
        <v>646</v>
      </c>
    </row>
    <row r="35" spans="1:10" ht="15" customHeight="1" x14ac:dyDescent="0.25">
      <c r="A35" s="413" t="s">
        <v>360</v>
      </c>
      <c r="B35" s="414"/>
      <c r="C35" s="414"/>
      <c r="D35" s="414"/>
      <c r="E35" s="415"/>
      <c r="F35" s="180">
        <v>286917.05</v>
      </c>
      <c r="G35" s="180">
        <v>282967.11</v>
      </c>
      <c r="H35" s="180">
        <v>200000</v>
      </c>
      <c r="I35" s="180">
        <v>0</v>
      </c>
      <c r="J35" s="181">
        <v>0</v>
      </c>
    </row>
    <row r="36" spans="1:10" ht="15" customHeight="1" x14ac:dyDescent="0.25">
      <c r="A36" s="403" t="s">
        <v>361</v>
      </c>
      <c r="B36" s="404"/>
      <c r="C36" s="404"/>
      <c r="D36" s="404"/>
      <c r="E36" s="404"/>
      <c r="F36" s="182">
        <f>F30+F35</f>
        <v>282967.11000000004</v>
      </c>
      <c r="G36" s="182">
        <f t="shared" ref="G36:J36" si="8">G30+G35</f>
        <v>0</v>
      </c>
      <c r="H36" s="182"/>
      <c r="I36" s="182">
        <f t="shared" si="8"/>
        <v>0</v>
      </c>
      <c r="J36" s="183">
        <f t="shared" si="8"/>
        <v>0</v>
      </c>
    </row>
    <row r="37" spans="1:10" ht="45" customHeight="1" x14ac:dyDescent="0.25">
      <c r="A37" s="407" t="s">
        <v>362</v>
      </c>
      <c r="B37" s="420"/>
      <c r="C37" s="420"/>
      <c r="D37" s="420"/>
      <c r="E37" s="421"/>
      <c r="F37" s="182">
        <f>F22+F29+F35-F36</f>
        <v>0</v>
      </c>
      <c r="G37" s="182">
        <f t="shared" ref="G37:J37" si="9">G22+G29+G35-G36</f>
        <v>-3.4924596548080444E-10</v>
      </c>
      <c r="H37" s="182">
        <f>H22+H29+H35-H36</f>
        <v>0</v>
      </c>
      <c r="I37" s="182">
        <f t="shared" si="9"/>
        <v>0</v>
      </c>
      <c r="J37" s="183">
        <f t="shared" si="9"/>
        <v>0</v>
      </c>
    </row>
    <row r="38" spans="1:10" ht="18" customHeight="1" x14ac:dyDescent="0.25">
      <c r="A38" s="143"/>
      <c r="B38" s="144"/>
      <c r="C38" s="144"/>
      <c r="D38" s="144"/>
      <c r="E38" s="144"/>
      <c r="F38" s="144"/>
      <c r="G38" s="144"/>
      <c r="H38" s="144"/>
      <c r="I38" s="144"/>
      <c r="J38" s="144"/>
    </row>
    <row r="39" spans="1:10" ht="18" customHeight="1" x14ac:dyDescent="0.25">
      <c r="A39" s="422" t="s">
        <v>363</v>
      </c>
      <c r="B39" s="422"/>
      <c r="C39" s="422"/>
      <c r="D39" s="422"/>
      <c r="E39" s="422"/>
      <c r="F39" s="422"/>
      <c r="G39" s="422"/>
      <c r="H39" s="422"/>
      <c r="I39" s="422"/>
      <c r="J39" s="422"/>
    </row>
    <row r="40" spans="1:10" ht="18" x14ac:dyDescent="0.25">
      <c r="A40" s="145"/>
      <c r="B40" s="146"/>
      <c r="C40" s="146"/>
      <c r="D40" s="146"/>
      <c r="E40" s="146"/>
      <c r="F40" s="146"/>
      <c r="G40" s="146"/>
      <c r="H40" s="64"/>
      <c r="I40" s="64"/>
      <c r="J40" s="64"/>
    </row>
    <row r="41" spans="1:10" ht="25.5" x14ac:dyDescent="0.25">
      <c r="A41" s="147"/>
      <c r="B41" s="148"/>
      <c r="C41" s="148"/>
      <c r="D41" s="149"/>
      <c r="E41" s="150"/>
      <c r="F41" s="4" t="s">
        <v>643</v>
      </c>
      <c r="G41" s="4" t="s">
        <v>644</v>
      </c>
      <c r="H41" s="4" t="s">
        <v>645</v>
      </c>
      <c r="I41" s="4" t="s">
        <v>356</v>
      </c>
      <c r="J41" s="4" t="s">
        <v>646</v>
      </c>
    </row>
    <row r="42" spans="1:10" x14ac:dyDescent="0.25">
      <c r="A42" s="413" t="s">
        <v>360</v>
      </c>
      <c r="B42" s="414"/>
      <c r="C42" s="414"/>
      <c r="D42" s="414"/>
      <c r="E42" s="415"/>
      <c r="F42" s="180">
        <v>0</v>
      </c>
      <c r="G42" s="180">
        <f>F45</f>
        <v>0</v>
      </c>
      <c r="H42" s="180">
        <f>G45</f>
        <v>0</v>
      </c>
      <c r="I42" s="180">
        <f>H45</f>
        <v>0</v>
      </c>
      <c r="J42" s="181">
        <f>I45</f>
        <v>0</v>
      </c>
    </row>
    <row r="43" spans="1:10" ht="28.5" customHeight="1" x14ac:dyDescent="0.25">
      <c r="A43" s="413" t="s">
        <v>7</v>
      </c>
      <c r="B43" s="414"/>
      <c r="C43" s="414"/>
      <c r="D43" s="414"/>
      <c r="E43" s="415"/>
      <c r="F43" s="180">
        <v>0</v>
      </c>
      <c r="G43" s="180">
        <v>0</v>
      </c>
      <c r="H43" s="180">
        <v>0</v>
      </c>
      <c r="I43" s="180">
        <v>0</v>
      </c>
      <c r="J43" s="181">
        <v>0</v>
      </c>
    </row>
    <row r="44" spans="1:10" x14ac:dyDescent="0.25">
      <c r="A44" s="413" t="s">
        <v>364</v>
      </c>
      <c r="B44" s="416"/>
      <c r="C44" s="416"/>
      <c r="D44" s="416"/>
      <c r="E44" s="417"/>
      <c r="F44" s="180">
        <v>0</v>
      </c>
      <c r="G44" s="180">
        <v>0</v>
      </c>
      <c r="H44" s="180">
        <v>0</v>
      </c>
      <c r="I44" s="180">
        <v>0</v>
      </c>
      <c r="J44" s="181">
        <v>0</v>
      </c>
    </row>
    <row r="45" spans="1:10" ht="15" customHeight="1" x14ac:dyDescent="0.25">
      <c r="A45" s="403" t="s">
        <v>361</v>
      </c>
      <c r="B45" s="404"/>
      <c r="C45" s="404"/>
      <c r="D45" s="404"/>
      <c r="E45" s="404"/>
      <c r="F45" s="184">
        <f>F42-F43+F44</f>
        <v>0</v>
      </c>
      <c r="G45" s="184">
        <f t="shared" ref="G45:J45" si="10">G42-G43+G44</f>
        <v>0</v>
      </c>
      <c r="H45" s="184">
        <f t="shared" si="10"/>
        <v>0</v>
      </c>
      <c r="I45" s="184">
        <f t="shared" si="10"/>
        <v>0</v>
      </c>
      <c r="J45" s="185">
        <f t="shared" si="10"/>
        <v>0</v>
      </c>
    </row>
    <row r="46" spans="1:10" ht="17.25" customHeight="1" x14ac:dyDescent="0.25"/>
    <row r="47" spans="1:10" x14ac:dyDescent="0.25">
      <c r="A47" s="139"/>
      <c r="B47" s="140"/>
      <c r="C47" s="140"/>
      <c r="D47" s="140"/>
      <c r="E47" s="140"/>
      <c r="F47" s="141"/>
      <c r="G47" s="141"/>
      <c r="H47" s="141"/>
      <c r="I47" s="141"/>
      <c r="J47" s="141"/>
    </row>
  </sheetData>
  <mergeCells count="26">
    <mergeCell ref="A43:E43"/>
    <mergeCell ref="A44:E44"/>
    <mergeCell ref="A45:E45"/>
    <mergeCell ref="A20:E20"/>
    <mergeCell ref="A13:J13"/>
    <mergeCell ref="A24:J24"/>
    <mergeCell ref="A27:E27"/>
    <mergeCell ref="A28:E28"/>
    <mergeCell ref="A37:E37"/>
    <mergeCell ref="A39:J39"/>
    <mergeCell ref="A42:E42"/>
    <mergeCell ref="A29:E29"/>
    <mergeCell ref="A30:E30"/>
    <mergeCell ref="A32:J32"/>
    <mergeCell ref="A35:E35"/>
    <mergeCell ref="A36:E36"/>
    <mergeCell ref="A3:J3"/>
    <mergeCell ref="A21:E21"/>
    <mergeCell ref="A22:E22"/>
    <mergeCell ref="A5:J5"/>
    <mergeCell ref="A7:J7"/>
    <mergeCell ref="A16:E16"/>
    <mergeCell ref="A17:E17"/>
    <mergeCell ref="A18:E18"/>
    <mergeCell ref="A9:J9"/>
    <mergeCell ref="A11:J11"/>
  </mergeCells>
  <pageMargins left="0.9055118110236221" right="0.31496062992125984" top="0.35433070866141736" bottom="0.35433070866141736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1"/>
  <sheetViews>
    <sheetView topLeftCell="A16" zoomScale="106" zoomScaleNormal="106" workbookViewId="0">
      <selection activeCell="D14" sqref="D14"/>
    </sheetView>
  </sheetViews>
  <sheetFormatPr defaultRowHeight="14.25" x14ac:dyDescent="0.2"/>
  <cols>
    <col min="1" max="1" width="7.5703125" style="119" bestFit="1" customWidth="1"/>
    <col min="2" max="2" width="8.5703125" style="119" bestFit="1" customWidth="1"/>
    <col min="3" max="3" width="40.7109375" style="119" customWidth="1"/>
    <col min="4" max="8" width="25.28515625" style="119" customWidth="1"/>
    <col min="9" max="16384" width="9.140625" style="119"/>
  </cols>
  <sheetData>
    <row r="1" spans="1:8" x14ac:dyDescent="0.2">
      <c r="A1" s="411" t="s">
        <v>552</v>
      </c>
      <c r="B1" s="411"/>
      <c r="C1" s="411"/>
      <c r="D1" s="411"/>
      <c r="E1" s="411"/>
      <c r="F1" s="411"/>
      <c r="G1" s="411"/>
      <c r="H1" s="411"/>
    </row>
    <row r="2" spans="1:8" ht="18" x14ac:dyDescent="0.2">
      <c r="A2" s="5"/>
      <c r="B2" s="5"/>
      <c r="C2" s="5"/>
      <c r="D2" s="5"/>
      <c r="E2" s="5"/>
      <c r="F2" s="5"/>
      <c r="G2" s="6"/>
      <c r="H2" s="6"/>
    </row>
    <row r="3" spans="1:8" s="120" customFormat="1" ht="17.25" customHeight="1" x14ac:dyDescent="0.2">
      <c r="A3" s="425" t="s">
        <v>677</v>
      </c>
      <c r="B3" s="425"/>
      <c r="C3" s="425"/>
      <c r="D3" s="425"/>
      <c r="E3" s="425"/>
      <c r="F3" s="425"/>
      <c r="G3" s="425"/>
      <c r="H3" s="425"/>
    </row>
    <row r="4" spans="1:8" s="120" customFormat="1" ht="12.75" x14ac:dyDescent="0.2">
      <c r="A4" s="424" t="s">
        <v>678</v>
      </c>
      <c r="B4" s="424"/>
      <c r="C4" s="424"/>
      <c r="D4" s="424"/>
      <c r="E4" s="424"/>
      <c r="F4" s="424"/>
      <c r="G4" s="424"/>
      <c r="H4" s="424"/>
    </row>
    <row r="5" spans="1:8" s="120" customFormat="1" ht="12.75" x14ac:dyDescent="0.2">
      <c r="A5" s="240"/>
      <c r="B5" s="240"/>
      <c r="C5" s="240"/>
      <c r="D5" s="240"/>
      <c r="E5" s="240"/>
      <c r="F5" s="240"/>
      <c r="G5" s="240"/>
      <c r="H5" s="240"/>
    </row>
    <row r="6" spans="1:8" ht="15" x14ac:dyDescent="0.2">
      <c r="A6" s="405" t="s">
        <v>365</v>
      </c>
      <c r="B6" s="423"/>
      <c r="C6" s="423"/>
      <c r="D6" s="423"/>
      <c r="E6" s="423"/>
      <c r="F6" s="423"/>
      <c r="G6" s="423"/>
      <c r="H6" s="423"/>
    </row>
    <row r="7" spans="1:8" ht="18" x14ac:dyDescent="0.2">
      <c r="A7" s="5"/>
      <c r="B7" s="5"/>
      <c r="C7" s="5"/>
      <c r="D7" s="5"/>
      <c r="E7" s="5"/>
      <c r="F7" s="5"/>
      <c r="G7" s="6"/>
      <c r="H7" s="6"/>
    </row>
    <row r="8" spans="1:8" ht="25.5" x14ac:dyDescent="0.2">
      <c r="A8" s="17" t="s">
        <v>11</v>
      </c>
      <c r="B8" s="16" t="s">
        <v>12</v>
      </c>
      <c r="C8" s="16" t="s">
        <v>10</v>
      </c>
      <c r="D8" s="16" t="s">
        <v>647</v>
      </c>
      <c r="E8" s="17" t="s">
        <v>648</v>
      </c>
      <c r="F8" s="17" t="s">
        <v>645</v>
      </c>
      <c r="G8" s="17" t="s">
        <v>356</v>
      </c>
      <c r="H8" s="17" t="s">
        <v>646</v>
      </c>
    </row>
    <row r="9" spans="1:8" ht="21.75" customHeight="1" x14ac:dyDescent="0.2">
      <c r="A9" s="170"/>
      <c r="B9" s="171"/>
      <c r="C9" s="172" t="s">
        <v>553</v>
      </c>
      <c r="D9" s="186">
        <f>D10+D17</f>
        <v>1168877.92</v>
      </c>
      <c r="E9" s="186">
        <f>E10+E17</f>
        <v>1815023</v>
      </c>
      <c r="F9" s="186">
        <f>F10+F17</f>
        <v>2044186</v>
      </c>
      <c r="G9" s="186">
        <f>G10+G17</f>
        <v>2134601</v>
      </c>
      <c r="H9" s="186">
        <f>H10+H17</f>
        <v>2119540</v>
      </c>
    </row>
    <row r="10" spans="1:8" ht="15.75" customHeight="1" x14ac:dyDescent="0.2">
      <c r="A10" s="10">
        <v>6</v>
      </c>
      <c r="B10" s="10"/>
      <c r="C10" s="10" t="s">
        <v>14</v>
      </c>
      <c r="D10" s="38">
        <f>D11+D12+D13+D14+D15+D16</f>
        <v>1168872.44</v>
      </c>
      <c r="E10" s="38">
        <f>E11+E12+E13+E14+E15+E16</f>
        <v>1814523</v>
      </c>
      <c r="F10" s="38">
        <f>F11+F12+F13+F14+F15+F16</f>
        <v>2043686</v>
      </c>
      <c r="G10" s="38">
        <f>G11+G12+G13+G14+G15+G16</f>
        <v>2134101</v>
      </c>
      <c r="H10" s="38">
        <f>H11+H12+H13+H14+H15+H16</f>
        <v>2119040</v>
      </c>
    </row>
    <row r="11" spans="1:8" ht="15" customHeight="1" x14ac:dyDescent="0.2">
      <c r="A11" s="10"/>
      <c r="B11" s="14">
        <v>61</v>
      </c>
      <c r="C11" s="195" t="s">
        <v>15</v>
      </c>
      <c r="D11" s="35">
        <v>256817.12</v>
      </c>
      <c r="E11" s="58">
        <v>324600</v>
      </c>
      <c r="F11" s="58">
        <v>348700</v>
      </c>
      <c r="G11" s="58">
        <v>337500</v>
      </c>
      <c r="H11" s="58">
        <v>332500</v>
      </c>
    </row>
    <row r="12" spans="1:8" ht="30.75" customHeight="1" x14ac:dyDescent="0.2">
      <c r="A12" s="11"/>
      <c r="B12" s="11">
        <v>63</v>
      </c>
      <c r="C12" s="15" t="s">
        <v>43</v>
      </c>
      <c r="D12" s="35">
        <v>621845.94999999995</v>
      </c>
      <c r="E12" s="58">
        <v>1167728</v>
      </c>
      <c r="F12" s="58">
        <f>1222005+85750</f>
        <v>1307755</v>
      </c>
      <c r="G12" s="58">
        <v>1498581</v>
      </c>
      <c r="H12" s="58">
        <v>1412220</v>
      </c>
    </row>
    <row r="13" spans="1:8" x14ac:dyDescent="0.2">
      <c r="A13" s="11"/>
      <c r="B13" s="11">
        <v>64</v>
      </c>
      <c r="C13" s="12" t="s">
        <v>40</v>
      </c>
      <c r="D13" s="35">
        <v>179649.89</v>
      </c>
      <c r="E13" s="58">
        <v>199545</v>
      </c>
      <c r="F13" s="58">
        <v>198273</v>
      </c>
      <c r="G13" s="58">
        <v>166220</v>
      </c>
      <c r="H13" s="58">
        <v>268220</v>
      </c>
    </row>
    <row r="14" spans="1:8" ht="32.25" customHeight="1" x14ac:dyDescent="0.2">
      <c r="A14" s="11"/>
      <c r="B14" s="11">
        <v>65</v>
      </c>
      <c r="C14" s="15" t="s">
        <v>45</v>
      </c>
      <c r="D14" s="35">
        <v>105344.22</v>
      </c>
      <c r="E14" s="58">
        <v>121650</v>
      </c>
      <c r="F14" s="58">
        <v>188008</v>
      </c>
      <c r="G14" s="58">
        <v>130800</v>
      </c>
      <c r="H14" s="58">
        <v>105100</v>
      </c>
    </row>
    <row r="15" spans="1:8" ht="42" customHeight="1" x14ac:dyDescent="0.2">
      <c r="A15" s="11"/>
      <c r="B15" s="11">
        <v>66</v>
      </c>
      <c r="C15" s="15" t="s">
        <v>46</v>
      </c>
      <c r="D15" s="35"/>
      <c r="E15" s="58">
        <v>1000</v>
      </c>
      <c r="F15" s="58">
        <v>950</v>
      </c>
      <c r="G15" s="58">
        <v>1000</v>
      </c>
      <c r="H15" s="58">
        <v>1000</v>
      </c>
    </row>
    <row r="16" spans="1:8" ht="19.5" customHeight="1" x14ac:dyDescent="0.2">
      <c r="A16" s="55"/>
      <c r="B16" s="55">
        <v>68</v>
      </c>
      <c r="C16" s="60" t="s">
        <v>567</v>
      </c>
      <c r="D16" s="44">
        <v>5215.26</v>
      </c>
      <c r="E16" s="44"/>
      <c r="F16" s="44"/>
      <c r="G16" s="44"/>
      <c r="H16" s="44"/>
    </row>
    <row r="17" spans="1:8" ht="18.75" customHeight="1" x14ac:dyDescent="0.2">
      <c r="A17" s="13">
        <v>7</v>
      </c>
      <c r="B17" s="13"/>
      <c r="C17" s="28" t="s">
        <v>17</v>
      </c>
      <c r="D17" s="38">
        <f>D18</f>
        <v>5.48</v>
      </c>
      <c r="E17" s="115">
        <f t="shared" ref="E17" si="0">E18</f>
        <v>500</v>
      </c>
      <c r="F17" s="115">
        <f t="shared" ref="F17:H17" si="1">F18</f>
        <v>500</v>
      </c>
      <c r="G17" s="115">
        <f t="shared" si="1"/>
        <v>500</v>
      </c>
      <c r="H17" s="115">
        <f t="shared" si="1"/>
        <v>500</v>
      </c>
    </row>
    <row r="18" spans="1:8" ht="25.5" customHeight="1" x14ac:dyDescent="0.2">
      <c r="A18" s="14"/>
      <c r="B18" s="14">
        <v>72</v>
      </c>
      <c r="C18" s="194" t="s">
        <v>44</v>
      </c>
      <c r="D18" s="35">
        <v>5.48</v>
      </c>
      <c r="E18" s="58">
        <v>500</v>
      </c>
      <c r="F18" s="58">
        <v>500</v>
      </c>
      <c r="G18" s="58">
        <v>500</v>
      </c>
      <c r="H18" s="121">
        <v>500</v>
      </c>
    </row>
    <row r="19" spans="1:8" x14ac:dyDescent="0.2">
      <c r="G19" s="132"/>
      <c r="H19" s="132"/>
    </row>
    <row r="21" spans="1:8" ht="15" x14ac:dyDescent="0.2">
      <c r="A21" s="405" t="s">
        <v>366</v>
      </c>
      <c r="B21" s="423"/>
      <c r="C21" s="423"/>
      <c r="D21" s="423"/>
      <c r="E21" s="423"/>
      <c r="F21" s="423"/>
      <c r="G21" s="423"/>
      <c r="H21" s="423"/>
    </row>
    <row r="22" spans="1:8" ht="18" x14ac:dyDescent="0.2">
      <c r="A22" s="5"/>
      <c r="B22" s="5"/>
      <c r="C22" s="5"/>
      <c r="D22" s="5"/>
      <c r="E22" s="5"/>
      <c r="F22" s="5"/>
      <c r="G22" s="6"/>
      <c r="H22" s="6"/>
    </row>
    <row r="23" spans="1:8" ht="25.5" x14ac:dyDescent="0.2">
      <c r="A23" s="17" t="s">
        <v>11</v>
      </c>
      <c r="B23" s="16" t="s">
        <v>12</v>
      </c>
      <c r="C23" s="16" t="s">
        <v>19</v>
      </c>
      <c r="D23" s="16" t="s">
        <v>647</v>
      </c>
      <c r="E23" s="17" t="s">
        <v>648</v>
      </c>
      <c r="F23" s="17" t="s">
        <v>645</v>
      </c>
      <c r="G23" s="17" t="s">
        <v>356</v>
      </c>
      <c r="H23" s="17" t="s">
        <v>646</v>
      </c>
    </row>
    <row r="24" spans="1:8" ht="20.25" customHeight="1" x14ac:dyDescent="0.2">
      <c r="A24" s="170"/>
      <c r="B24" s="171"/>
      <c r="C24" s="172" t="s">
        <v>554</v>
      </c>
      <c r="D24" s="186">
        <f>D25+D33</f>
        <v>1172827.8599999999</v>
      </c>
      <c r="E24" s="186">
        <f>E25+E33</f>
        <v>2097990.1100000003</v>
      </c>
      <c r="F24" s="186">
        <f>F25+F33</f>
        <v>2244186</v>
      </c>
      <c r="G24" s="186">
        <f>G25+G33</f>
        <v>2134601</v>
      </c>
      <c r="H24" s="186">
        <f>H25+H33</f>
        <v>2119540</v>
      </c>
    </row>
    <row r="25" spans="1:8" ht="15.75" customHeight="1" x14ac:dyDescent="0.2">
      <c r="A25" s="10">
        <v>3</v>
      </c>
      <c r="B25" s="10"/>
      <c r="C25" s="10" t="s">
        <v>20</v>
      </c>
      <c r="D25" s="38">
        <f>D26+D27+D28+D29+D30+D31+D32</f>
        <v>882248.95</v>
      </c>
      <c r="E25" s="115">
        <f>E26+E27+E28+E29+E30+E31+E32</f>
        <v>1171990.1100000001</v>
      </c>
      <c r="F25" s="115">
        <f>F26+F27+F28+F29+F30+F31+F32</f>
        <v>1249436</v>
      </c>
      <c r="G25" s="115">
        <f>G26+G27+G28+G29+G30+G31+G32</f>
        <v>1381321</v>
      </c>
      <c r="H25" s="115">
        <f>H26+H27+H28+H29+H30+H31+H32</f>
        <v>1342640</v>
      </c>
    </row>
    <row r="26" spans="1:8" ht="15.75" customHeight="1" x14ac:dyDescent="0.2">
      <c r="A26" s="10"/>
      <c r="B26" s="14">
        <v>31</v>
      </c>
      <c r="C26" s="195" t="s">
        <v>21</v>
      </c>
      <c r="D26" s="35">
        <v>295945.63</v>
      </c>
      <c r="E26" s="58">
        <v>470855</v>
      </c>
      <c r="F26" s="58">
        <v>568445</v>
      </c>
      <c r="G26" s="58">
        <v>579600</v>
      </c>
      <c r="H26" s="58">
        <v>501650</v>
      </c>
    </row>
    <row r="27" spans="1:8" ht="13.5" customHeight="1" x14ac:dyDescent="0.2">
      <c r="A27" s="55"/>
      <c r="B27" s="59">
        <v>32</v>
      </c>
      <c r="C27" s="196" t="s">
        <v>32</v>
      </c>
      <c r="D27" s="44">
        <v>404269.61</v>
      </c>
      <c r="E27" s="58">
        <v>437408</v>
      </c>
      <c r="F27" s="58">
        <v>415617</v>
      </c>
      <c r="G27" s="58">
        <v>525121</v>
      </c>
      <c r="H27" s="58">
        <v>552390</v>
      </c>
    </row>
    <row r="28" spans="1:8" x14ac:dyDescent="0.2">
      <c r="A28" s="55"/>
      <c r="B28" s="55">
        <v>34</v>
      </c>
      <c r="C28" s="57" t="s">
        <v>118</v>
      </c>
      <c r="D28" s="44">
        <v>3097.78</v>
      </c>
      <c r="E28" s="58">
        <v>4208</v>
      </c>
      <c r="F28" s="58">
        <v>4392</v>
      </c>
      <c r="G28" s="58">
        <v>4500</v>
      </c>
      <c r="H28" s="58">
        <v>4500</v>
      </c>
    </row>
    <row r="29" spans="1:8" x14ac:dyDescent="0.2">
      <c r="A29" s="55"/>
      <c r="B29" s="55">
        <v>35</v>
      </c>
      <c r="C29" s="57" t="s">
        <v>47</v>
      </c>
      <c r="D29" s="44">
        <v>15071.61</v>
      </c>
      <c r="E29" s="58">
        <v>25300</v>
      </c>
      <c r="F29" s="58">
        <v>21300</v>
      </c>
      <c r="G29" s="58">
        <v>20200</v>
      </c>
      <c r="H29" s="58">
        <v>20200</v>
      </c>
    </row>
    <row r="30" spans="1:8" ht="25.5" x14ac:dyDescent="0.2">
      <c r="A30" s="55"/>
      <c r="B30" s="55">
        <v>36</v>
      </c>
      <c r="C30" s="60" t="s">
        <v>48</v>
      </c>
      <c r="D30" s="44">
        <v>27344.39</v>
      </c>
      <c r="E30" s="58">
        <v>51092</v>
      </c>
      <c r="F30" s="58">
        <v>45592</v>
      </c>
      <c r="G30" s="58">
        <v>55600</v>
      </c>
      <c r="H30" s="58">
        <v>67600</v>
      </c>
    </row>
    <row r="31" spans="1:8" ht="32.25" customHeight="1" x14ac:dyDescent="0.2">
      <c r="A31" s="55"/>
      <c r="B31" s="55">
        <v>37</v>
      </c>
      <c r="C31" s="60" t="s">
        <v>49</v>
      </c>
      <c r="D31" s="44">
        <v>54440.32</v>
      </c>
      <c r="E31" s="58">
        <v>69600</v>
      </c>
      <c r="F31" s="58">
        <v>66300</v>
      </c>
      <c r="G31" s="58">
        <v>68000</v>
      </c>
      <c r="H31" s="58">
        <v>70000</v>
      </c>
    </row>
    <row r="32" spans="1:8" x14ac:dyDescent="0.2">
      <c r="A32" s="55"/>
      <c r="B32" s="55">
        <v>38</v>
      </c>
      <c r="C32" s="57" t="s">
        <v>50</v>
      </c>
      <c r="D32" s="44">
        <v>82079.61</v>
      </c>
      <c r="E32" s="58">
        <v>113527.11</v>
      </c>
      <c r="F32" s="58">
        <v>127790</v>
      </c>
      <c r="G32" s="58">
        <v>128300</v>
      </c>
      <c r="H32" s="58">
        <v>126300</v>
      </c>
    </row>
    <row r="33" spans="1:8" ht="18.75" customHeight="1" x14ac:dyDescent="0.2">
      <c r="A33" s="61">
        <v>4</v>
      </c>
      <c r="B33" s="61"/>
      <c r="C33" s="62" t="s">
        <v>22</v>
      </c>
      <c r="D33" s="115">
        <f>D34+D35</f>
        <v>290578.91000000003</v>
      </c>
      <c r="E33" s="115">
        <f>E34+E35</f>
        <v>926000</v>
      </c>
      <c r="F33" s="115">
        <f>F34+F35</f>
        <v>994750</v>
      </c>
      <c r="G33" s="115">
        <f>G34+G35</f>
        <v>753280</v>
      </c>
      <c r="H33" s="115">
        <f>H34+H35</f>
        <v>776900</v>
      </c>
    </row>
    <row r="34" spans="1:8" ht="25.5" customHeight="1" x14ac:dyDescent="0.2">
      <c r="A34" s="14"/>
      <c r="B34" s="14">
        <v>42</v>
      </c>
      <c r="C34" s="194" t="s">
        <v>39</v>
      </c>
      <c r="D34" s="44">
        <v>135863.44</v>
      </c>
      <c r="E34" s="58">
        <v>739300</v>
      </c>
      <c r="F34" s="58">
        <f>737000+85750</f>
        <v>822750</v>
      </c>
      <c r="G34" s="58">
        <v>466280</v>
      </c>
      <c r="H34" s="121">
        <v>580900</v>
      </c>
    </row>
    <row r="35" spans="1:8" ht="25.5" customHeight="1" x14ac:dyDescent="0.2">
      <c r="A35" s="14"/>
      <c r="B35" s="14">
        <v>45</v>
      </c>
      <c r="C35" s="194" t="s">
        <v>51</v>
      </c>
      <c r="D35" s="44">
        <v>154715.47</v>
      </c>
      <c r="E35" s="58">
        <v>186700</v>
      </c>
      <c r="F35" s="58">
        <v>172000</v>
      </c>
      <c r="G35" s="58">
        <v>287000</v>
      </c>
      <c r="H35" s="121">
        <v>196000</v>
      </c>
    </row>
    <row r="36" spans="1:8" hidden="1" x14ac:dyDescent="0.2">
      <c r="A36" s="59"/>
      <c r="B36" s="59"/>
      <c r="C36" s="57" t="s">
        <v>16</v>
      </c>
      <c r="D36" s="44">
        <f>D35-D38</f>
        <v>154715.47</v>
      </c>
      <c r="E36" s="58">
        <f>272.28+4645.3-1327.23+12608.67+39816.84</f>
        <v>56015.86</v>
      </c>
      <c r="F36" s="58"/>
      <c r="G36" s="58"/>
      <c r="H36" s="121"/>
    </row>
    <row r="37" spans="1:8" hidden="1" x14ac:dyDescent="0.2">
      <c r="A37" s="134"/>
      <c r="B37" s="134"/>
      <c r="C37" s="57" t="s">
        <v>122</v>
      </c>
      <c r="D37" s="136"/>
      <c r="E37" s="136">
        <f>13000</f>
        <v>13000</v>
      </c>
      <c r="F37" s="136"/>
      <c r="G37" s="135"/>
      <c r="H37" s="135"/>
    </row>
    <row r="38" spans="1:8" hidden="1" x14ac:dyDescent="0.2">
      <c r="A38" s="134"/>
      <c r="B38" s="134"/>
      <c r="C38" s="57" t="s">
        <v>121</v>
      </c>
      <c r="D38" s="136"/>
      <c r="E38" s="136">
        <f>26544.56+13272.28+7299.75+13272.28</f>
        <v>60388.87</v>
      </c>
      <c r="F38" s="136"/>
      <c r="G38" s="135"/>
      <c r="H38" s="135"/>
    </row>
    <row r="39" spans="1:8" x14ac:dyDescent="0.2">
      <c r="E39" s="137"/>
      <c r="F39" s="120"/>
      <c r="G39" s="132"/>
      <c r="H39" s="132"/>
    </row>
    <row r="40" spans="1:8" x14ac:dyDescent="0.2">
      <c r="E40" s="132"/>
      <c r="F40" s="132"/>
      <c r="G40" s="132"/>
      <c r="H40" s="132"/>
    </row>
    <row r="41" spans="1:8" x14ac:dyDescent="0.2">
      <c r="E41" s="132"/>
      <c r="F41" s="132"/>
    </row>
  </sheetData>
  <mergeCells count="5">
    <mergeCell ref="A6:H6"/>
    <mergeCell ref="A21:H21"/>
    <mergeCell ref="A4:H4"/>
    <mergeCell ref="A3:H3"/>
    <mergeCell ref="A1:H1"/>
  </mergeCells>
  <pageMargins left="0.9055118110236221" right="0.5118110236220472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29B4D-E264-4279-B143-11BCC41A2856}">
  <dimension ref="A1:P72"/>
  <sheetViews>
    <sheetView tabSelected="1" workbookViewId="0">
      <selection activeCell="B5" sqref="B5"/>
    </sheetView>
  </sheetViews>
  <sheetFormatPr defaultRowHeight="14.25" x14ac:dyDescent="0.2"/>
  <cols>
    <col min="1" max="1" width="53.42578125" style="119" customWidth="1"/>
    <col min="2" max="2" width="23.85546875" style="119" customWidth="1"/>
    <col min="3" max="3" width="18.7109375" style="119" customWidth="1"/>
    <col min="4" max="4" width="25.28515625" style="119" customWidth="1"/>
    <col min="5" max="6" width="22.7109375" style="119" customWidth="1"/>
    <col min="7" max="16384" width="9.140625" style="119"/>
  </cols>
  <sheetData>
    <row r="1" spans="1:6" x14ac:dyDescent="0.2">
      <c r="A1" s="411" t="s">
        <v>561</v>
      </c>
      <c r="B1" s="411"/>
      <c r="C1" s="411"/>
      <c r="D1" s="411"/>
      <c r="E1" s="411"/>
      <c r="F1" s="411"/>
    </row>
    <row r="2" spans="1:6" ht="18" x14ac:dyDescent="0.2">
      <c r="A2" s="5"/>
      <c r="B2" s="5"/>
      <c r="C2" s="5"/>
      <c r="D2" s="5"/>
      <c r="E2" s="5"/>
      <c r="F2" s="5"/>
    </row>
    <row r="3" spans="1:6" s="120" customFormat="1" ht="17.25" customHeight="1" x14ac:dyDescent="0.2">
      <c r="A3" s="425" t="s">
        <v>902</v>
      </c>
      <c r="B3" s="425"/>
      <c r="C3" s="425"/>
      <c r="D3" s="425"/>
      <c r="E3" s="425"/>
      <c r="F3" s="425"/>
    </row>
    <row r="4" spans="1:6" s="120" customFormat="1" ht="12.75" x14ac:dyDescent="0.2">
      <c r="A4" s="424" t="s">
        <v>679</v>
      </c>
      <c r="B4" s="424"/>
      <c r="C4" s="424"/>
      <c r="D4" s="424"/>
      <c r="E4" s="424"/>
      <c r="F4" s="424"/>
    </row>
    <row r="5" spans="1:6" ht="18" x14ac:dyDescent="0.2">
      <c r="A5" s="5"/>
      <c r="B5" s="5"/>
      <c r="C5" s="5"/>
      <c r="D5" s="5"/>
      <c r="E5" s="5"/>
      <c r="F5" s="5"/>
    </row>
    <row r="6" spans="1:6" ht="14.25" customHeight="1" x14ac:dyDescent="0.2">
      <c r="A6" s="229" t="s">
        <v>367</v>
      </c>
      <c r="B6" s="229"/>
      <c r="C6" s="230"/>
      <c r="D6" s="230"/>
      <c r="E6" s="230"/>
      <c r="F6" s="230"/>
    </row>
    <row r="7" spans="1:6" ht="15.75" x14ac:dyDescent="0.2">
      <c r="A7" s="30"/>
      <c r="B7" s="30"/>
      <c r="C7" s="216"/>
      <c r="D7" s="216"/>
      <c r="E7" s="216"/>
      <c r="F7" s="216"/>
    </row>
    <row r="8" spans="1:6" ht="25.5" x14ac:dyDescent="0.2">
      <c r="A8" s="217" t="s">
        <v>649</v>
      </c>
      <c r="B8" s="17" t="s">
        <v>647</v>
      </c>
      <c r="C8" s="16" t="s">
        <v>648</v>
      </c>
      <c r="D8" s="17" t="s">
        <v>645</v>
      </c>
      <c r="E8" s="17" t="s">
        <v>356</v>
      </c>
      <c r="F8" s="17" t="s">
        <v>646</v>
      </c>
    </row>
    <row r="9" spans="1:6" ht="15" customHeight="1" x14ac:dyDescent="0.2">
      <c r="A9" s="224" t="s">
        <v>0</v>
      </c>
      <c r="B9" s="235">
        <f>B10+B15+B16+B19+B26+B29+B30+B32</f>
        <v>1168877.92</v>
      </c>
      <c r="C9" s="235">
        <f t="shared" ref="C9:F9" si="0">C10+C15+C16+C19+C26+C29+C30+C32</f>
        <v>1815023</v>
      </c>
      <c r="D9" s="235">
        <f>D10+D15+D16+D19+D26+D29+D30+D32</f>
        <v>2044186</v>
      </c>
      <c r="E9" s="235">
        <f t="shared" si="0"/>
        <v>2134601</v>
      </c>
      <c r="F9" s="235">
        <f t="shared" si="0"/>
        <v>2119540</v>
      </c>
    </row>
    <row r="10" spans="1:6" x14ac:dyDescent="0.2">
      <c r="A10" s="160" t="s">
        <v>650</v>
      </c>
      <c r="B10" s="231">
        <f>B11+B12+B13+B14</f>
        <v>440127.56</v>
      </c>
      <c r="C10" s="231">
        <f t="shared" ref="C10:F10" si="1">C11+C12+C13+C14</f>
        <v>522850</v>
      </c>
      <c r="D10" s="231">
        <f t="shared" si="1"/>
        <v>545510</v>
      </c>
      <c r="E10" s="231">
        <f t="shared" si="1"/>
        <v>502920</v>
      </c>
      <c r="F10" s="231">
        <f t="shared" si="1"/>
        <v>599720</v>
      </c>
    </row>
    <row r="11" spans="1:6" x14ac:dyDescent="0.2">
      <c r="A11" s="160" t="s">
        <v>651</v>
      </c>
      <c r="B11" s="231">
        <v>256817.12</v>
      </c>
      <c r="C11" s="231">
        <v>324600</v>
      </c>
      <c r="D11" s="231">
        <f>348700</f>
        <v>348700</v>
      </c>
      <c r="E11" s="36">
        <v>337500</v>
      </c>
      <c r="F11" s="36">
        <v>332500</v>
      </c>
    </row>
    <row r="12" spans="1:6" x14ac:dyDescent="0.2">
      <c r="A12" s="160" t="s">
        <v>652</v>
      </c>
      <c r="B12" s="231">
        <v>64.83</v>
      </c>
      <c r="C12" s="231">
        <f>5+100</f>
        <v>105</v>
      </c>
      <c r="D12" s="231">
        <f>50</f>
        <v>50</v>
      </c>
      <c r="E12" s="36">
        <v>100</v>
      </c>
      <c r="F12" s="36">
        <v>50</v>
      </c>
    </row>
    <row r="13" spans="1:6" x14ac:dyDescent="0.2">
      <c r="A13" s="160" t="s">
        <v>653</v>
      </c>
      <c r="B13" s="231">
        <v>177673.17</v>
      </c>
      <c r="C13" s="231">
        <f>194210+185+500+1180-2980</f>
        <v>193095</v>
      </c>
      <c r="D13" s="231">
        <f>193173+500+950-2800+5050-113</f>
        <v>196760</v>
      </c>
      <c r="E13" s="58">
        <f>500+500+158270+1000+5050</f>
        <v>165320</v>
      </c>
      <c r="F13" s="58">
        <f>500+300+260320+1000+5050</f>
        <v>267170</v>
      </c>
    </row>
    <row r="14" spans="1:6" x14ac:dyDescent="0.2">
      <c r="A14" s="160" t="s">
        <v>654</v>
      </c>
      <c r="B14" s="231">
        <v>5572.44</v>
      </c>
      <c r="C14" s="231">
        <v>5050</v>
      </c>
      <c r="D14" s="231"/>
      <c r="E14" s="36"/>
      <c r="F14" s="36"/>
    </row>
    <row r="15" spans="1:6" x14ac:dyDescent="0.2">
      <c r="A15" s="160" t="s">
        <v>655</v>
      </c>
      <c r="B15" s="231"/>
      <c r="C15" s="231"/>
      <c r="D15" s="231"/>
      <c r="E15" s="36"/>
      <c r="F15" s="36"/>
    </row>
    <row r="16" spans="1:6" x14ac:dyDescent="0.2">
      <c r="A16" s="160" t="s">
        <v>656</v>
      </c>
      <c r="B16" s="231">
        <f>B17</f>
        <v>21899.97</v>
      </c>
      <c r="C16" s="231">
        <f t="shared" ref="C16:F16" si="2">C17</f>
        <v>31847</v>
      </c>
      <c r="D16" s="231">
        <f t="shared" si="2"/>
        <v>43508</v>
      </c>
      <c r="E16" s="231">
        <f t="shared" si="2"/>
        <v>44200</v>
      </c>
      <c r="F16" s="231">
        <f t="shared" si="2"/>
        <v>42700</v>
      </c>
    </row>
    <row r="17" spans="1:6" x14ac:dyDescent="0.2">
      <c r="A17" s="160" t="s">
        <v>657</v>
      </c>
      <c r="B17" s="231">
        <v>21899.97</v>
      </c>
      <c r="C17" s="231">
        <v>31847</v>
      </c>
      <c r="D17" s="231">
        <v>43508</v>
      </c>
      <c r="E17" s="36">
        <v>44200</v>
      </c>
      <c r="F17" s="36">
        <v>42700</v>
      </c>
    </row>
    <row r="18" spans="1:6" x14ac:dyDescent="0.2">
      <c r="A18" s="160" t="s">
        <v>658</v>
      </c>
      <c r="B18" s="232"/>
      <c r="C18" s="231"/>
      <c r="D18" s="231"/>
      <c r="E18" s="36"/>
      <c r="F18" s="36"/>
    </row>
    <row r="19" spans="1:6" x14ac:dyDescent="0.2">
      <c r="A19" s="225" t="s">
        <v>659</v>
      </c>
      <c r="B19" s="232">
        <f>B20+B21+B22+B23+B24</f>
        <v>85004.44</v>
      </c>
      <c r="C19" s="232">
        <f t="shared" ref="C19:F19" si="3">C20+C21+C22+C23+C24</f>
        <v>92598</v>
      </c>
      <c r="D19" s="232">
        <f>D20+D21+D22+D23+D24+D25</f>
        <v>147413</v>
      </c>
      <c r="E19" s="232">
        <f t="shared" si="3"/>
        <v>88900</v>
      </c>
      <c r="F19" s="232">
        <f t="shared" si="3"/>
        <v>64900</v>
      </c>
    </row>
    <row r="20" spans="1:6" x14ac:dyDescent="0.2">
      <c r="A20" s="226" t="s">
        <v>660</v>
      </c>
      <c r="B20" s="232">
        <v>13769.12</v>
      </c>
      <c r="C20" s="232">
        <v>12000</v>
      </c>
      <c r="D20" s="232">
        <v>12000</v>
      </c>
      <c r="E20" s="36">
        <v>11000</v>
      </c>
      <c r="F20" s="36">
        <v>12000</v>
      </c>
    </row>
    <row r="21" spans="1:6" x14ac:dyDescent="0.2">
      <c r="A21" s="226" t="s">
        <v>661</v>
      </c>
      <c r="B21" s="232">
        <v>15928.61</v>
      </c>
      <c r="C21" s="232">
        <f>15468+100</f>
        <v>15568</v>
      </c>
      <c r="D21" s="232">
        <v>17000</v>
      </c>
      <c r="E21" s="36">
        <v>15000</v>
      </c>
      <c r="F21" s="36">
        <v>15000</v>
      </c>
    </row>
    <row r="22" spans="1:6" x14ac:dyDescent="0.2">
      <c r="A22" s="226" t="s">
        <v>662</v>
      </c>
      <c r="B22" s="232">
        <v>53382.27</v>
      </c>
      <c r="C22" s="232">
        <v>62000</v>
      </c>
      <c r="D22" s="232">
        <v>115000</v>
      </c>
      <c r="E22" s="36">
        <v>60000</v>
      </c>
      <c r="F22" s="36">
        <v>35000</v>
      </c>
    </row>
    <row r="23" spans="1:6" x14ac:dyDescent="0.2">
      <c r="A23" s="226" t="s">
        <v>663</v>
      </c>
      <c r="B23" s="232">
        <v>1911.89</v>
      </c>
      <c r="C23" s="232">
        <v>2980</v>
      </c>
      <c r="D23" s="232">
        <v>2800</v>
      </c>
      <c r="E23" s="36">
        <v>2800</v>
      </c>
      <c r="F23" s="36">
        <v>2800</v>
      </c>
    </row>
    <row r="24" spans="1:6" x14ac:dyDescent="0.2">
      <c r="A24" s="226" t="s">
        <v>664</v>
      </c>
      <c r="B24" s="231">
        <v>12.55</v>
      </c>
      <c r="C24" s="232">
        <v>50</v>
      </c>
      <c r="D24" s="232">
        <v>200</v>
      </c>
      <c r="E24" s="36">
        <v>100</v>
      </c>
      <c r="F24" s="36">
        <v>100</v>
      </c>
    </row>
    <row r="25" spans="1:6" x14ac:dyDescent="0.2">
      <c r="A25" s="226" t="s">
        <v>864</v>
      </c>
      <c r="B25" s="231"/>
      <c r="C25" s="232"/>
      <c r="D25" s="232">
        <f>300+83+30</f>
        <v>413</v>
      </c>
      <c r="E25" s="36"/>
      <c r="F25" s="36"/>
    </row>
    <row r="26" spans="1:6" x14ac:dyDescent="0.2">
      <c r="A26" s="160" t="s">
        <v>665</v>
      </c>
      <c r="B26" s="231">
        <f>B27+B28</f>
        <v>621845.94999999995</v>
      </c>
      <c r="C26" s="231">
        <f t="shared" ref="C26:F26" si="4">C27+C28</f>
        <v>1167728</v>
      </c>
      <c r="D26" s="231">
        <f t="shared" si="4"/>
        <v>1307755</v>
      </c>
      <c r="E26" s="231">
        <f t="shared" si="4"/>
        <v>1498581</v>
      </c>
      <c r="F26" s="231">
        <f t="shared" si="4"/>
        <v>1412220</v>
      </c>
    </row>
    <row r="27" spans="1:6" x14ac:dyDescent="0.2">
      <c r="A27" s="160" t="s">
        <v>666</v>
      </c>
      <c r="B27" s="231">
        <v>35635.339999999997</v>
      </c>
      <c r="C27" s="231">
        <f>322000+4120+10000</f>
        <v>336120</v>
      </c>
      <c r="D27" s="231">
        <f>106185+10000+315750</f>
        <v>431935</v>
      </c>
      <c r="E27" s="36">
        <f>207700+106200</f>
        <v>313900</v>
      </c>
      <c r="F27" s="36">
        <f>151354+24800+275000+65000</f>
        <v>516154</v>
      </c>
    </row>
    <row r="28" spans="1:6" x14ac:dyDescent="0.2">
      <c r="A28" s="160" t="s">
        <v>667</v>
      </c>
      <c r="B28" s="231">
        <v>586210.61</v>
      </c>
      <c r="C28" s="231">
        <v>831608</v>
      </c>
      <c r="D28" s="231">
        <v>875820</v>
      </c>
      <c r="E28" s="36">
        <v>1184681</v>
      </c>
      <c r="F28" s="36">
        <v>896066</v>
      </c>
    </row>
    <row r="29" spans="1:6" x14ac:dyDescent="0.2">
      <c r="A29" s="160" t="s">
        <v>668</v>
      </c>
      <c r="B29" s="232"/>
      <c r="C29" s="231"/>
      <c r="D29" s="231"/>
      <c r="E29" s="36"/>
      <c r="F29" s="36"/>
    </row>
    <row r="30" spans="1:6" x14ac:dyDescent="0.2">
      <c r="A30" s="227" t="s">
        <v>669</v>
      </c>
      <c r="B30" s="432"/>
      <c r="C30" s="434"/>
      <c r="D30" s="434"/>
      <c r="E30" s="430"/>
      <c r="F30" s="430"/>
    </row>
    <row r="31" spans="1:6" x14ac:dyDescent="0.2">
      <c r="A31" s="228" t="s">
        <v>670</v>
      </c>
      <c r="B31" s="433"/>
      <c r="C31" s="435"/>
      <c r="D31" s="435"/>
      <c r="E31" s="431"/>
      <c r="F31" s="431"/>
    </row>
    <row r="32" spans="1:6" x14ac:dyDescent="0.2">
      <c r="A32" s="225" t="s">
        <v>671</v>
      </c>
      <c r="B32" s="36"/>
      <c r="C32" s="232"/>
      <c r="D32" s="232"/>
      <c r="E32" s="36"/>
      <c r="F32" s="36"/>
    </row>
    <row r="33" spans="1:6" x14ac:dyDescent="0.2">
      <c r="A33" s="165"/>
      <c r="B33" s="233"/>
      <c r="C33" s="234"/>
      <c r="D33" s="234"/>
      <c r="E33" s="233"/>
      <c r="F33" s="233"/>
    </row>
    <row r="34" spans="1:6" x14ac:dyDescent="0.2">
      <c r="A34" s="165"/>
      <c r="B34" s="233"/>
      <c r="C34" s="234"/>
      <c r="D34" s="234"/>
      <c r="E34" s="233"/>
      <c r="F34" s="233"/>
    </row>
    <row r="35" spans="1:6" x14ac:dyDescent="0.2">
      <c r="A35" s="165"/>
      <c r="B35" s="233"/>
      <c r="C35" s="234"/>
      <c r="D35" s="234"/>
      <c r="E35" s="233"/>
      <c r="F35" s="233"/>
    </row>
    <row r="36" spans="1:6" x14ac:dyDescent="0.2">
      <c r="A36" s="165"/>
      <c r="B36" s="233"/>
      <c r="C36" s="234"/>
      <c r="D36" s="234"/>
      <c r="E36" s="233"/>
      <c r="F36" s="233"/>
    </row>
    <row r="37" spans="1:6" x14ac:dyDescent="0.2">
      <c r="A37" s="165"/>
      <c r="B37" s="233"/>
      <c r="C37" s="234"/>
      <c r="D37" s="234"/>
      <c r="E37" s="233"/>
      <c r="F37" s="233"/>
    </row>
    <row r="38" spans="1:6" x14ac:dyDescent="0.2">
      <c r="A38" s="165"/>
      <c r="B38" s="233"/>
      <c r="C38" s="234"/>
      <c r="D38" s="234"/>
      <c r="E38" s="233"/>
      <c r="F38" s="233"/>
    </row>
    <row r="39" spans="1:6" x14ac:dyDescent="0.2">
      <c r="A39" s="165"/>
      <c r="B39" s="233"/>
      <c r="C39" s="234"/>
      <c r="D39" s="234"/>
      <c r="E39" s="233"/>
      <c r="F39" s="233"/>
    </row>
    <row r="40" spans="1:6" x14ac:dyDescent="0.2">
      <c r="A40" s="165"/>
      <c r="B40" s="233"/>
      <c r="C40" s="234"/>
      <c r="D40" s="234"/>
      <c r="E40" s="233"/>
      <c r="F40" s="233"/>
    </row>
    <row r="41" spans="1:6" x14ac:dyDescent="0.2">
      <c r="A41" s="165"/>
      <c r="B41" s="233"/>
      <c r="C41" s="234"/>
      <c r="D41" s="234"/>
      <c r="E41" s="233"/>
      <c r="F41" s="233"/>
    </row>
    <row r="42" spans="1:6" x14ac:dyDescent="0.2">
      <c r="A42" s="165"/>
      <c r="B42" s="233"/>
      <c r="C42" s="234"/>
      <c r="D42" s="234"/>
      <c r="E42" s="233"/>
      <c r="F42" s="233"/>
    </row>
    <row r="43" spans="1:6" x14ac:dyDescent="0.2">
      <c r="A43" s="165"/>
      <c r="B43" s="233"/>
      <c r="C43" s="234"/>
      <c r="D43" s="234"/>
      <c r="E43" s="233"/>
      <c r="F43" s="233"/>
    </row>
    <row r="44" spans="1:6" x14ac:dyDescent="0.2">
      <c r="A44" s="165"/>
      <c r="B44" s="233"/>
      <c r="C44" s="234"/>
      <c r="D44" s="234"/>
      <c r="E44" s="233"/>
      <c r="F44" s="233"/>
    </row>
    <row r="45" spans="1:6" s="197" customFormat="1" ht="12" x14ac:dyDescent="0.2"/>
    <row r="46" spans="1:6" s="197" customFormat="1" ht="12.75" customHeight="1" x14ac:dyDescent="0.2">
      <c r="A46" s="229" t="s">
        <v>368</v>
      </c>
      <c r="B46" s="229"/>
      <c r="C46" s="230"/>
      <c r="D46" s="230"/>
      <c r="E46" s="230"/>
      <c r="F46" s="230"/>
    </row>
    <row r="47" spans="1:6" s="197" customFormat="1" ht="12" x14ac:dyDescent="0.2">
      <c r="A47" s="206"/>
      <c r="B47" s="206"/>
      <c r="C47" s="206"/>
      <c r="D47" s="206"/>
      <c r="E47" s="206"/>
      <c r="F47" s="206"/>
    </row>
    <row r="48" spans="1:6" s="197" customFormat="1" ht="12" x14ac:dyDescent="0.2">
      <c r="A48" s="206"/>
      <c r="B48" s="206"/>
      <c r="C48" s="206"/>
      <c r="D48" s="206"/>
      <c r="E48" s="206"/>
      <c r="F48" s="206"/>
    </row>
    <row r="49" spans="1:6" ht="25.5" x14ac:dyDescent="0.2">
      <c r="A49" s="217" t="s">
        <v>649</v>
      </c>
      <c r="B49" s="17" t="s">
        <v>647</v>
      </c>
      <c r="C49" s="16" t="s">
        <v>648</v>
      </c>
      <c r="D49" s="17" t="s">
        <v>645</v>
      </c>
      <c r="E49" s="17" t="s">
        <v>356</v>
      </c>
      <c r="F49" s="17" t="s">
        <v>646</v>
      </c>
    </row>
    <row r="50" spans="1:6" x14ac:dyDescent="0.2">
      <c r="A50" s="224" t="s">
        <v>673</v>
      </c>
      <c r="B50" s="237">
        <f>B51+B56+B57+B59+B66+B69+B70+B72</f>
        <v>1172827.8600000001</v>
      </c>
      <c r="C50" s="237">
        <f>C51+C56+C57+C59+C66+C69+C70+C72</f>
        <v>2097990.1100000003</v>
      </c>
      <c r="D50" s="237">
        <f>D51+D56+D57+D59+D66+D69+D70+D72</f>
        <v>2244186</v>
      </c>
      <c r="E50" s="237">
        <f>E51+E56+E57+E59+E66+E69+E70+E72</f>
        <v>2134601</v>
      </c>
      <c r="F50" s="237">
        <f>F51+F56+F57+F59+F66+F69+F70+F72</f>
        <v>2119540</v>
      </c>
    </row>
    <row r="51" spans="1:6" x14ac:dyDescent="0.2">
      <c r="A51" s="225" t="s">
        <v>672</v>
      </c>
      <c r="B51" s="232">
        <f>B52+B53+B54+B55</f>
        <v>810643.17</v>
      </c>
      <c r="C51" s="232">
        <f t="shared" ref="C51:F51" si="5">C52+C53+C54+C55</f>
        <v>1187668.6600000001</v>
      </c>
      <c r="D51" s="232">
        <f>D52+D53+D54+D55</f>
        <v>745510</v>
      </c>
      <c r="E51" s="232">
        <f t="shared" si="5"/>
        <v>502920</v>
      </c>
      <c r="F51" s="232">
        <f t="shared" si="5"/>
        <v>599720</v>
      </c>
    </row>
    <row r="52" spans="1:6" x14ac:dyDescent="0.2">
      <c r="A52" s="160" t="s">
        <v>651</v>
      </c>
      <c r="B52" s="231">
        <v>234917.15</v>
      </c>
      <c r="C52" s="231">
        <v>324600</v>
      </c>
      <c r="D52" s="231">
        <v>335000</v>
      </c>
      <c r="E52" s="326">
        <f>13700+337500</f>
        <v>351200</v>
      </c>
      <c r="F52" s="326">
        <v>332500</v>
      </c>
    </row>
    <row r="53" spans="1:6" x14ac:dyDescent="0.2">
      <c r="A53" s="160" t="s">
        <v>652</v>
      </c>
      <c r="B53" s="231">
        <v>64.83</v>
      </c>
      <c r="C53" s="231">
        <v>105</v>
      </c>
      <c r="D53" s="231">
        <v>50</v>
      </c>
      <c r="E53" s="326">
        <v>100</v>
      </c>
      <c r="F53" s="326">
        <v>50</v>
      </c>
    </row>
    <row r="54" spans="1:6" x14ac:dyDescent="0.2">
      <c r="A54" s="160" t="s">
        <v>653</v>
      </c>
      <c r="B54" s="231">
        <v>570445.93000000005</v>
      </c>
      <c r="C54" s="231">
        <v>857913.66</v>
      </c>
      <c r="D54" s="231">
        <f>444981-39158+5050-300-113</f>
        <v>410460</v>
      </c>
      <c r="E54" s="326">
        <v>151620</v>
      </c>
      <c r="F54" s="326">
        <f>262120+5050</f>
        <v>267170</v>
      </c>
    </row>
    <row r="55" spans="1:6" x14ac:dyDescent="0.2">
      <c r="A55" s="160" t="s">
        <v>654</v>
      </c>
      <c r="B55" s="231">
        <v>5215.26</v>
      </c>
      <c r="C55" s="231">
        <v>5050</v>
      </c>
      <c r="D55" s="231"/>
      <c r="E55" s="326"/>
      <c r="F55" s="326"/>
    </row>
    <row r="56" spans="1:6" x14ac:dyDescent="0.2">
      <c r="A56" s="160" t="s">
        <v>655</v>
      </c>
      <c r="B56" s="231"/>
      <c r="C56" s="231"/>
      <c r="D56" s="231"/>
      <c r="E56" s="326"/>
      <c r="F56" s="326"/>
    </row>
    <row r="57" spans="1:6" x14ac:dyDescent="0.2">
      <c r="A57" s="160" t="s">
        <v>656</v>
      </c>
      <c r="B57" s="231">
        <f>B58</f>
        <v>21899.97</v>
      </c>
      <c r="C57" s="231">
        <f t="shared" ref="C57:F57" si="6">C58</f>
        <v>31847</v>
      </c>
      <c r="D57" s="231">
        <f t="shared" si="6"/>
        <v>43508</v>
      </c>
      <c r="E57" s="231">
        <f t="shared" si="6"/>
        <v>44200</v>
      </c>
      <c r="F57" s="231">
        <f t="shared" si="6"/>
        <v>42700</v>
      </c>
    </row>
    <row r="58" spans="1:6" x14ac:dyDescent="0.2">
      <c r="A58" s="160" t="s">
        <v>657</v>
      </c>
      <c r="B58" s="231">
        <v>21899.97</v>
      </c>
      <c r="C58" s="231">
        <v>31847</v>
      </c>
      <c r="D58" s="231">
        <v>43508</v>
      </c>
      <c r="E58" s="326">
        <v>44200</v>
      </c>
      <c r="F58" s="326">
        <v>42700</v>
      </c>
    </row>
    <row r="59" spans="1:6" x14ac:dyDescent="0.2">
      <c r="A59" s="225" t="s">
        <v>659</v>
      </c>
      <c r="B59" s="232">
        <f>B60+B61+B62+B63+B64</f>
        <v>85004.44</v>
      </c>
      <c r="C59" s="232">
        <f>C60+C61+C62+C63+C64</f>
        <v>80598</v>
      </c>
      <c r="D59" s="232">
        <f>D60+D61+D62+D63+D64+D65</f>
        <v>147413</v>
      </c>
      <c r="E59" s="232">
        <f t="shared" ref="E59:F59" si="7">E60+E61+E62+E63+E64+E65</f>
        <v>88900</v>
      </c>
      <c r="F59" s="232">
        <f t="shared" si="7"/>
        <v>64900</v>
      </c>
    </row>
    <row r="60" spans="1:6" x14ac:dyDescent="0.2">
      <c r="A60" s="226" t="s">
        <v>660</v>
      </c>
      <c r="B60" s="232">
        <v>13769.12</v>
      </c>
      <c r="C60" s="232"/>
      <c r="D60" s="232">
        <v>12000</v>
      </c>
      <c r="E60" s="326">
        <v>11000</v>
      </c>
      <c r="F60" s="326">
        <v>12000</v>
      </c>
    </row>
    <row r="61" spans="1:6" x14ac:dyDescent="0.2">
      <c r="A61" s="226" t="s">
        <v>661</v>
      </c>
      <c r="B61" s="232">
        <v>15928.61</v>
      </c>
      <c r="C61" s="232">
        <f>15468+100</f>
        <v>15568</v>
      </c>
      <c r="D61" s="232">
        <v>17000</v>
      </c>
      <c r="E61" s="326">
        <v>15000</v>
      </c>
      <c r="F61" s="326">
        <v>15000</v>
      </c>
    </row>
    <row r="62" spans="1:6" x14ac:dyDescent="0.2">
      <c r="A62" s="226" t="s">
        <v>662</v>
      </c>
      <c r="B62" s="232">
        <v>53382.27</v>
      </c>
      <c r="C62" s="232">
        <v>62000</v>
      </c>
      <c r="D62" s="232">
        <v>115000</v>
      </c>
      <c r="E62" s="326">
        <v>60000</v>
      </c>
      <c r="F62" s="326">
        <v>35000</v>
      </c>
    </row>
    <row r="63" spans="1:6" x14ac:dyDescent="0.2">
      <c r="A63" s="226" t="s">
        <v>663</v>
      </c>
      <c r="B63" s="232">
        <v>1911.89</v>
      </c>
      <c r="C63" s="232">
        <v>2980</v>
      </c>
      <c r="D63" s="232">
        <v>2800</v>
      </c>
      <c r="E63" s="326">
        <v>2800</v>
      </c>
      <c r="F63" s="326">
        <v>2800</v>
      </c>
    </row>
    <row r="64" spans="1:6" x14ac:dyDescent="0.2">
      <c r="A64" s="226" t="s">
        <v>664</v>
      </c>
      <c r="B64" s="232">
        <v>12.55</v>
      </c>
      <c r="C64" s="232">
        <v>50</v>
      </c>
      <c r="D64" s="232">
        <v>200</v>
      </c>
      <c r="E64" s="326">
        <v>100</v>
      </c>
      <c r="F64" s="326">
        <v>100</v>
      </c>
    </row>
    <row r="65" spans="1:16" x14ac:dyDescent="0.2">
      <c r="A65" s="226" t="s">
        <v>864</v>
      </c>
      <c r="B65" s="232"/>
      <c r="C65" s="232"/>
      <c r="D65" s="232">
        <f>300+83+30</f>
        <v>413</v>
      </c>
      <c r="E65" s="326"/>
      <c r="F65" s="326"/>
      <c r="H65" s="607"/>
      <c r="I65" s="607"/>
      <c r="J65" s="607"/>
      <c r="K65" s="607"/>
      <c r="L65" s="607"/>
      <c r="M65" s="607"/>
      <c r="N65" s="607"/>
      <c r="O65" s="607"/>
      <c r="P65" s="607"/>
    </row>
    <row r="66" spans="1:16" x14ac:dyDescent="0.2">
      <c r="A66" s="160" t="s">
        <v>665</v>
      </c>
      <c r="B66" s="231">
        <f>B67+B68</f>
        <v>255280.28</v>
      </c>
      <c r="C66" s="231">
        <f>C67+C68</f>
        <v>797876.45</v>
      </c>
      <c r="D66" s="231">
        <f t="shared" ref="D66:F66" si="8">D67+D68</f>
        <v>1307755</v>
      </c>
      <c r="E66" s="231">
        <f t="shared" si="8"/>
        <v>1498581</v>
      </c>
      <c r="F66" s="231">
        <f t="shared" si="8"/>
        <v>1412220</v>
      </c>
    </row>
    <row r="67" spans="1:16" x14ac:dyDescent="0.2">
      <c r="A67" s="160" t="s">
        <v>666</v>
      </c>
      <c r="B67" s="231">
        <v>35635.339999999997</v>
      </c>
      <c r="C67" s="231">
        <v>497750</v>
      </c>
      <c r="D67" s="231">
        <f>346185+85750</f>
        <v>431935</v>
      </c>
      <c r="E67" s="326">
        <v>313900</v>
      </c>
      <c r="F67" s="326">
        <v>516154</v>
      </c>
    </row>
    <row r="68" spans="1:16" x14ac:dyDescent="0.2">
      <c r="A68" s="160" t="s">
        <v>667</v>
      </c>
      <c r="B68" s="231">
        <v>219644.94</v>
      </c>
      <c r="C68" s="231">
        <f>178598+34133.45+17200+70195</f>
        <v>300126.45</v>
      </c>
      <c r="D68" s="231">
        <f>875820</f>
        <v>875820</v>
      </c>
      <c r="E68" s="326">
        <v>1184681</v>
      </c>
      <c r="F68" s="326">
        <v>896066</v>
      </c>
    </row>
    <row r="69" spans="1:16" x14ac:dyDescent="0.2">
      <c r="A69" s="160" t="s">
        <v>668</v>
      </c>
      <c r="B69" s="231"/>
      <c r="C69" s="231"/>
      <c r="D69" s="231"/>
      <c r="E69" s="326"/>
      <c r="F69" s="326"/>
    </row>
    <row r="70" spans="1:16" x14ac:dyDescent="0.2">
      <c r="A70" s="227" t="s">
        <v>669</v>
      </c>
      <c r="B70" s="428"/>
      <c r="C70" s="428"/>
      <c r="D70" s="428"/>
      <c r="E70" s="426"/>
      <c r="F70" s="426"/>
    </row>
    <row r="71" spans="1:16" x14ac:dyDescent="0.2">
      <c r="A71" s="236" t="s">
        <v>670</v>
      </c>
      <c r="B71" s="429"/>
      <c r="C71" s="429"/>
      <c r="D71" s="429"/>
      <c r="E71" s="427"/>
      <c r="F71" s="427"/>
    </row>
    <row r="72" spans="1:16" x14ac:dyDescent="0.2">
      <c r="A72" s="225" t="s">
        <v>671</v>
      </c>
      <c r="B72" s="232"/>
      <c r="C72" s="232"/>
      <c r="D72" s="232"/>
      <c r="E72" s="238"/>
      <c r="F72" s="238"/>
    </row>
  </sheetData>
  <mergeCells count="13">
    <mergeCell ref="A4:F4"/>
    <mergeCell ref="A1:F1"/>
    <mergeCell ref="A3:F3"/>
    <mergeCell ref="E30:E31"/>
    <mergeCell ref="F30:F31"/>
    <mergeCell ref="B30:B31"/>
    <mergeCell ref="C30:C31"/>
    <mergeCell ref="D30:D31"/>
    <mergeCell ref="E70:E71"/>
    <mergeCell ref="F70:F71"/>
    <mergeCell ref="B70:B71"/>
    <mergeCell ref="C70:C71"/>
    <mergeCell ref="D70:D71"/>
  </mergeCells>
  <pageMargins left="1.1023622047244095" right="0.19685039370078741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Normal="100" workbookViewId="0">
      <selection activeCell="H11" sqref="H11"/>
    </sheetView>
  </sheetViews>
  <sheetFormatPr defaultRowHeight="15" x14ac:dyDescent="0.25"/>
  <cols>
    <col min="1" max="1" width="39" style="133" customWidth="1"/>
    <col min="2" max="6" width="18.7109375" customWidth="1"/>
  </cols>
  <sheetData>
    <row r="1" spans="1:8" s="119" customFormat="1" ht="14.25" x14ac:dyDescent="0.2">
      <c r="A1" s="411" t="s">
        <v>563</v>
      </c>
      <c r="B1" s="411"/>
      <c r="C1" s="411"/>
      <c r="D1" s="411"/>
      <c r="E1" s="411"/>
      <c r="F1" s="411"/>
      <c r="G1" s="229"/>
      <c r="H1" s="229"/>
    </row>
    <row r="2" spans="1:8" s="119" customFormat="1" ht="18" x14ac:dyDescent="0.2">
      <c r="A2" s="5"/>
      <c r="B2" s="5"/>
      <c r="C2" s="5"/>
      <c r="D2" s="5"/>
      <c r="E2" s="5"/>
      <c r="F2" s="5"/>
      <c r="G2" s="5"/>
      <c r="H2" s="6"/>
    </row>
    <row r="3" spans="1:8" s="120" customFormat="1" ht="17.25" customHeight="1" x14ac:dyDescent="0.2">
      <c r="A3" s="120" t="s">
        <v>903</v>
      </c>
      <c r="G3" s="220"/>
      <c r="H3" s="220"/>
    </row>
    <row r="4" spans="1:8" s="120" customFormat="1" ht="12.75" x14ac:dyDescent="0.2">
      <c r="A4" s="424" t="s">
        <v>850</v>
      </c>
      <c r="B4" s="424"/>
      <c r="C4" s="424"/>
      <c r="D4" s="424"/>
      <c r="E4" s="424"/>
      <c r="F4" s="424"/>
      <c r="G4" s="424"/>
      <c r="H4" s="424"/>
    </row>
    <row r="5" spans="1:8" s="120" customFormat="1" ht="12.75" x14ac:dyDescent="0.2">
      <c r="A5" s="240"/>
      <c r="B5" s="240"/>
      <c r="C5" s="240"/>
      <c r="D5" s="240"/>
      <c r="E5" s="240"/>
      <c r="F5" s="240"/>
      <c r="G5" s="240"/>
      <c r="H5" s="240"/>
    </row>
    <row r="6" spans="1:8" s="119" customFormat="1" ht="38.25" x14ac:dyDescent="0.2">
      <c r="A6" s="328" t="s">
        <v>849</v>
      </c>
      <c r="B6" s="329" t="s">
        <v>647</v>
      </c>
      <c r="C6" s="16" t="s">
        <v>648</v>
      </c>
      <c r="D6" s="17" t="s">
        <v>645</v>
      </c>
      <c r="E6" s="17" t="s">
        <v>356</v>
      </c>
      <c r="F6" s="17" t="s">
        <v>646</v>
      </c>
      <c r="G6" s="169"/>
      <c r="H6" s="169"/>
    </row>
    <row r="7" spans="1:8" s="207" customFormat="1" ht="27.75" customHeight="1" x14ac:dyDescent="0.2">
      <c r="A7" s="198" t="s">
        <v>23</v>
      </c>
      <c r="B7" s="203">
        <f>B8+B14+B12+B16+B20+B23+B30+B35+B40+B28</f>
        <v>1172827.8600000001</v>
      </c>
      <c r="C7" s="199">
        <f>C8+C14+C12+C16+C20+C23+C30+C35+C40+C28</f>
        <v>2097990.1100000003</v>
      </c>
      <c r="D7" s="199">
        <f>D8+D12+D14+D16+D20+D23+D28+D30+D35+D40</f>
        <v>2244186</v>
      </c>
      <c r="E7" s="199">
        <f t="shared" ref="E7:F7" si="0">E8+E12+E14+E16+E20+E23+E28+E30+E35+E40</f>
        <v>2134601</v>
      </c>
      <c r="F7" s="199">
        <f t="shared" si="0"/>
        <v>2119540</v>
      </c>
    </row>
    <row r="8" spans="1:8" s="207" customFormat="1" ht="15.75" customHeight="1" x14ac:dyDescent="0.2">
      <c r="A8" s="198" t="s">
        <v>24</v>
      </c>
      <c r="B8" s="201">
        <f>B9+B10+B11</f>
        <v>248979.13</v>
      </c>
      <c r="C8" s="201">
        <f t="shared" ref="C8" si="1">C9+C10+C11</f>
        <v>336398</v>
      </c>
      <c r="D8" s="201">
        <f>D9+D10+D11</f>
        <v>382712</v>
      </c>
      <c r="E8" s="201">
        <f t="shared" ref="E8:F8" si="2">E9+E10+E11</f>
        <v>339581</v>
      </c>
      <c r="F8" s="201">
        <f t="shared" si="2"/>
        <v>382550</v>
      </c>
    </row>
    <row r="9" spans="1:8" s="207" customFormat="1" ht="15.75" customHeight="1" x14ac:dyDescent="0.2">
      <c r="A9" s="200" t="s">
        <v>371</v>
      </c>
      <c r="B9" s="201">
        <v>53449.1</v>
      </c>
      <c r="C9" s="202">
        <v>60540</v>
      </c>
      <c r="D9" s="202">
        <f>95312-14100</f>
        <v>81212</v>
      </c>
      <c r="E9" s="202">
        <f>72360-15000</f>
        <v>57360</v>
      </c>
      <c r="F9" s="202">
        <f>72560-15000</f>
        <v>57560</v>
      </c>
    </row>
    <row r="10" spans="1:8" s="207" customFormat="1" ht="15.75" customHeight="1" x14ac:dyDescent="0.2">
      <c r="A10" s="200" t="s">
        <v>674</v>
      </c>
      <c r="B10" s="201">
        <v>195530.03</v>
      </c>
      <c r="C10" s="202"/>
      <c r="D10" s="202"/>
      <c r="E10" s="202"/>
      <c r="F10" s="202"/>
    </row>
    <row r="11" spans="1:8" s="207" customFormat="1" ht="20.25" customHeight="1" x14ac:dyDescent="0.2">
      <c r="A11" s="200" t="s">
        <v>372</v>
      </c>
      <c r="B11" s="201"/>
      <c r="C11" s="202">
        <v>275858</v>
      </c>
      <c r="D11" s="202">
        <f>14100+252900+15000+14000+5500</f>
        <v>301500</v>
      </c>
      <c r="E11" s="202">
        <f>15000+241321+23900+2000</f>
        <v>282221</v>
      </c>
      <c r="F11" s="202">
        <f>15000+234990+58000+17000</f>
        <v>324990</v>
      </c>
    </row>
    <row r="12" spans="1:8" s="207" customFormat="1" ht="15.75" customHeight="1" x14ac:dyDescent="0.2">
      <c r="A12" s="198" t="s">
        <v>55</v>
      </c>
      <c r="B12" s="201"/>
      <c r="C12" s="202">
        <f>C13</f>
        <v>3500</v>
      </c>
      <c r="D12" s="202">
        <f t="shared" ref="D12:F12" si="3">D13</f>
        <v>3500</v>
      </c>
      <c r="E12" s="202">
        <f t="shared" si="3"/>
        <v>3000</v>
      </c>
      <c r="F12" s="202">
        <f t="shared" si="3"/>
        <v>3000</v>
      </c>
    </row>
    <row r="13" spans="1:8" s="207" customFormat="1" ht="15.75" customHeight="1" x14ac:dyDescent="0.2">
      <c r="A13" s="200" t="s">
        <v>627</v>
      </c>
      <c r="B13" s="201"/>
      <c r="C13" s="202">
        <v>3500</v>
      </c>
      <c r="D13" s="202">
        <v>3500</v>
      </c>
      <c r="E13" s="202">
        <v>3000</v>
      </c>
      <c r="F13" s="202">
        <v>3000</v>
      </c>
    </row>
    <row r="14" spans="1:8" s="207" customFormat="1" ht="15.75" customHeight="1" x14ac:dyDescent="0.2">
      <c r="A14" s="198" t="s">
        <v>52</v>
      </c>
      <c r="B14" s="201">
        <f>B15</f>
        <v>30583.759999999998</v>
      </c>
      <c r="C14" s="201">
        <f t="shared" ref="C14:E14" si="4">C15</f>
        <v>36000</v>
      </c>
      <c r="D14" s="201">
        <f t="shared" si="4"/>
        <v>34000</v>
      </c>
      <c r="E14" s="201">
        <f t="shared" si="4"/>
        <v>34000</v>
      </c>
      <c r="F14" s="201">
        <f>F15</f>
        <v>34000</v>
      </c>
    </row>
    <row r="15" spans="1:8" s="207" customFormat="1" ht="12" x14ac:dyDescent="0.2">
      <c r="A15" s="200" t="s">
        <v>626</v>
      </c>
      <c r="B15" s="201">
        <v>30583.759999999998</v>
      </c>
      <c r="C15" s="202">
        <v>36000</v>
      </c>
      <c r="D15" s="202">
        <v>34000</v>
      </c>
      <c r="E15" s="202">
        <v>34000</v>
      </c>
      <c r="F15" s="204">
        <v>34000</v>
      </c>
    </row>
    <row r="16" spans="1:8" s="207" customFormat="1" ht="15.75" customHeight="1" x14ac:dyDescent="0.2">
      <c r="A16" s="198" t="s">
        <v>25</v>
      </c>
      <c r="B16" s="201">
        <f>B17+B18+B19</f>
        <v>18124.21</v>
      </c>
      <c r="C16" s="201">
        <f t="shared" ref="C16" si="5">C17+C18+C19</f>
        <v>52192</v>
      </c>
      <c r="D16" s="201">
        <f>D17+D18+D19</f>
        <v>44192</v>
      </c>
      <c r="E16" s="201">
        <f t="shared" ref="E16:F16" si="6">E17+E18+E19</f>
        <v>53200</v>
      </c>
      <c r="F16" s="201">
        <f t="shared" si="6"/>
        <v>65200</v>
      </c>
    </row>
    <row r="17" spans="1:6" s="207" customFormat="1" ht="24" x14ac:dyDescent="0.2">
      <c r="A17" s="200" t="s">
        <v>374</v>
      </c>
      <c r="B17" s="201"/>
      <c r="C17" s="202">
        <v>5000</v>
      </c>
      <c r="D17" s="202">
        <f>5000</f>
        <v>5000</v>
      </c>
      <c r="E17" s="202">
        <f>5000</f>
        <v>5000</v>
      </c>
      <c r="F17" s="204">
        <f>5000</f>
        <v>5000</v>
      </c>
    </row>
    <row r="18" spans="1:6" s="207" customFormat="1" ht="12" x14ac:dyDescent="0.2">
      <c r="A18" s="208" t="s">
        <v>373</v>
      </c>
      <c r="B18" s="201">
        <v>18124.21</v>
      </c>
      <c r="C18" s="202">
        <v>23192</v>
      </c>
      <c r="D18" s="202">
        <f>19192</f>
        <v>19192</v>
      </c>
      <c r="E18" s="202">
        <f>18200</f>
        <v>18200</v>
      </c>
      <c r="F18" s="204">
        <f>18200</f>
        <v>18200</v>
      </c>
    </row>
    <row r="19" spans="1:6" s="207" customFormat="1" ht="12" x14ac:dyDescent="0.2">
      <c r="A19" s="200" t="s">
        <v>617</v>
      </c>
      <c r="B19" s="201"/>
      <c r="C19" s="202">
        <v>24000</v>
      </c>
      <c r="D19" s="202">
        <f>20000</f>
        <v>20000</v>
      </c>
      <c r="E19" s="202">
        <f>30000</f>
        <v>30000</v>
      </c>
      <c r="F19" s="204">
        <f>42000</f>
        <v>42000</v>
      </c>
    </row>
    <row r="20" spans="1:6" s="207" customFormat="1" ht="15.75" customHeight="1" x14ac:dyDescent="0.2">
      <c r="A20" s="198" t="s">
        <v>53</v>
      </c>
      <c r="B20" s="239">
        <f>B21+B22</f>
        <v>40087.19</v>
      </c>
      <c r="C20" s="239">
        <f t="shared" ref="C20" si="7">C21+C22</f>
        <v>31240</v>
      </c>
      <c r="D20" s="239">
        <f>D21+D22</f>
        <v>26290</v>
      </c>
      <c r="E20" s="239">
        <f t="shared" ref="E20:F20" si="8">E21+E22</f>
        <v>46200</v>
      </c>
      <c r="F20" s="239">
        <f t="shared" si="8"/>
        <v>53300</v>
      </c>
    </row>
    <row r="21" spans="1:6" s="207" customFormat="1" ht="12" x14ac:dyDescent="0.2">
      <c r="A21" s="200" t="s">
        <v>624</v>
      </c>
      <c r="B21" s="239">
        <v>28493.74</v>
      </c>
      <c r="C21" s="239">
        <v>9600</v>
      </c>
      <c r="D21" s="239">
        <v>9230</v>
      </c>
      <c r="E21" s="239">
        <v>9300</v>
      </c>
      <c r="F21" s="239">
        <v>9400</v>
      </c>
    </row>
    <row r="22" spans="1:6" s="207" customFormat="1" ht="24" x14ac:dyDescent="0.2">
      <c r="A22" s="200" t="s">
        <v>621</v>
      </c>
      <c r="B22" s="239">
        <v>11593.45</v>
      </c>
      <c r="C22" s="239">
        <v>21640</v>
      </c>
      <c r="D22" s="239">
        <f>3000+14060</f>
        <v>17060</v>
      </c>
      <c r="E22" s="239">
        <f>3500+15900+17500</f>
        <v>36900</v>
      </c>
      <c r="F22" s="239">
        <f>2500+16400+25000</f>
        <v>43900</v>
      </c>
    </row>
    <row r="23" spans="1:6" s="207" customFormat="1" ht="15.75" customHeight="1" x14ac:dyDescent="0.2">
      <c r="A23" s="198" t="s">
        <v>54</v>
      </c>
      <c r="B23" s="239">
        <f>B25+B24+B26+B27</f>
        <v>476717.38</v>
      </c>
      <c r="C23" s="239">
        <f t="shared" ref="C23" si="9">C25+C24+C26+C27</f>
        <v>1088000</v>
      </c>
      <c r="D23" s="239">
        <f>D25+D24+D26+D27</f>
        <v>1120650</v>
      </c>
      <c r="E23" s="239">
        <f t="shared" ref="E23:F23" si="10">E25+E24+E26+E27</f>
        <v>1020800</v>
      </c>
      <c r="F23" s="239">
        <f t="shared" si="10"/>
        <v>1019900</v>
      </c>
    </row>
    <row r="24" spans="1:6" s="207" customFormat="1" ht="12" x14ac:dyDescent="0.2">
      <c r="A24" s="200" t="s">
        <v>620</v>
      </c>
      <c r="B24" s="239">
        <v>424019.87</v>
      </c>
      <c r="C24" s="239">
        <v>1024200</v>
      </c>
      <c r="D24" s="239">
        <f>74000+22000+1900+3500+800+40000+75000+35000+20000+160000+130000+315750+7000+25000+14500+8000+30000+104000</f>
        <v>1066450</v>
      </c>
      <c r="E24" s="239">
        <f>187000+25000+2000+18000+900+207700+47000+253000+11000+37000+195000</f>
        <v>983600</v>
      </c>
      <c r="F24" s="239">
        <f>194000+31400+2000+4000+1300+275000+138000+3000+59000+196000+76000</f>
        <v>979700</v>
      </c>
    </row>
    <row r="25" spans="1:6" s="207" customFormat="1" ht="12" x14ac:dyDescent="0.2">
      <c r="A25" s="200" t="s">
        <v>623</v>
      </c>
      <c r="B25" s="239">
        <v>24265.53</v>
      </c>
      <c r="C25" s="239">
        <v>25000</v>
      </c>
      <c r="D25" s="239">
        <v>20000</v>
      </c>
      <c r="E25" s="239"/>
      <c r="F25" s="239"/>
    </row>
    <row r="26" spans="1:6" s="207" customFormat="1" ht="12" x14ac:dyDescent="0.2">
      <c r="A26" s="200" t="s">
        <v>622</v>
      </c>
      <c r="B26" s="239">
        <v>28431.98</v>
      </c>
      <c r="C26" s="239">
        <v>22000</v>
      </c>
      <c r="D26" s="239">
        <f>18500</f>
        <v>18500</v>
      </c>
      <c r="E26" s="239">
        <f>20000</f>
        <v>20000</v>
      </c>
      <c r="F26" s="239">
        <f>23000</f>
        <v>23000</v>
      </c>
    </row>
    <row r="27" spans="1:6" s="207" customFormat="1" ht="24" x14ac:dyDescent="0.2">
      <c r="A27" s="200" t="s">
        <v>625</v>
      </c>
      <c r="B27" s="239"/>
      <c r="C27" s="239">
        <v>16800</v>
      </c>
      <c r="D27" s="239">
        <v>15700</v>
      </c>
      <c r="E27" s="239">
        <v>17200</v>
      </c>
      <c r="F27" s="239">
        <v>17200</v>
      </c>
    </row>
    <row r="28" spans="1:6" s="207" customFormat="1" ht="15.75" customHeight="1" x14ac:dyDescent="0.2">
      <c r="A28" s="198" t="s">
        <v>56</v>
      </c>
      <c r="B28" s="239">
        <f>B29</f>
        <v>8026.83</v>
      </c>
      <c r="C28" s="239">
        <f t="shared" ref="C28:F28" si="11">C29</f>
        <v>4000</v>
      </c>
      <c r="D28" s="239">
        <f t="shared" si="11"/>
        <v>11000</v>
      </c>
      <c r="E28" s="239">
        <f t="shared" si="11"/>
        <v>11000</v>
      </c>
      <c r="F28" s="239">
        <f t="shared" si="11"/>
        <v>11000</v>
      </c>
    </row>
    <row r="29" spans="1:6" s="207" customFormat="1" ht="12" x14ac:dyDescent="0.2">
      <c r="A29" s="200" t="s">
        <v>634</v>
      </c>
      <c r="B29" s="239">
        <v>8026.83</v>
      </c>
      <c r="C29" s="239">
        <v>4000</v>
      </c>
      <c r="D29" s="239">
        <v>11000</v>
      </c>
      <c r="E29" s="239">
        <v>11000</v>
      </c>
      <c r="F29" s="239">
        <v>11000</v>
      </c>
    </row>
    <row r="30" spans="1:6" s="207" customFormat="1" ht="15.75" customHeight="1" x14ac:dyDescent="0.2">
      <c r="A30" s="198" t="s">
        <v>57</v>
      </c>
      <c r="B30" s="239">
        <f>B31+B32+B33+B34</f>
        <v>56677.13</v>
      </c>
      <c r="C30" s="239">
        <f t="shared" ref="C30" si="12">C31+C32+C33+C34</f>
        <v>70297.11</v>
      </c>
      <c r="D30" s="239">
        <f>D31+D32+D33+D34</f>
        <v>79000</v>
      </c>
      <c r="E30" s="239">
        <f t="shared" ref="E30:F30" si="13">E31+E32+E33+E34</f>
        <v>79000</v>
      </c>
      <c r="F30" s="239">
        <f t="shared" si="13"/>
        <v>79000</v>
      </c>
    </row>
    <row r="31" spans="1:6" s="207" customFormat="1" ht="12" x14ac:dyDescent="0.2">
      <c r="A31" s="200" t="s">
        <v>628</v>
      </c>
      <c r="B31" s="239">
        <v>35600</v>
      </c>
      <c r="C31" s="239">
        <v>55000</v>
      </c>
      <c r="D31" s="239">
        <v>57000</v>
      </c>
      <c r="E31" s="239">
        <v>57000</v>
      </c>
      <c r="F31" s="239">
        <v>57000</v>
      </c>
    </row>
    <row r="32" spans="1:6" s="207" customFormat="1" ht="12" x14ac:dyDescent="0.2">
      <c r="A32" s="200" t="s">
        <v>629</v>
      </c>
      <c r="B32" s="239">
        <v>1800</v>
      </c>
      <c r="C32" s="239">
        <v>4000</v>
      </c>
      <c r="D32" s="239">
        <v>5000</v>
      </c>
      <c r="E32" s="239">
        <v>5000</v>
      </c>
      <c r="F32" s="239">
        <v>5000</v>
      </c>
    </row>
    <row r="33" spans="1:6" s="207" customFormat="1" ht="12" x14ac:dyDescent="0.2">
      <c r="A33" s="200" t="s">
        <v>630</v>
      </c>
      <c r="B33" s="239">
        <v>5516.25</v>
      </c>
      <c r="C33" s="239">
        <v>1800</v>
      </c>
      <c r="D33" s="239">
        <v>5000</v>
      </c>
      <c r="E33" s="239">
        <v>5000</v>
      </c>
      <c r="F33" s="239">
        <v>5000</v>
      </c>
    </row>
    <row r="34" spans="1:6" s="207" customFormat="1" ht="24" x14ac:dyDescent="0.2">
      <c r="A34" s="200" t="s">
        <v>635</v>
      </c>
      <c r="B34" s="239">
        <v>13760.88</v>
      </c>
      <c r="C34" s="239">
        <v>9497.11</v>
      </c>
      <c r="D34" s="239">
        <v>12000</v>
      </c>
      <c r="E34" s="239">
        <v>12000</v>
      </c>
      <c r="F34" s="239">
        <v>12000</v>
      </c>
    </row>
    <row r="35" spans="1:6" s="207" customFormat="1" ht="15.75" customHeight="1" x14ac:dyDescent="0.2">
      <c r="A35" s="198" t="s">
        <v>58</v>
      </c>
      <c r="B35" s="239">
        <f>B36+B38+B39+B37</f>
        <v>200615.84</v>
      </c>
      <c r="C35" s="239">
        <f t="shared" ref="C35" si="14">C36+C38+C39+C37</f>
        <v>318651</v>
      </c>
      <c r="D35" s="239">
        <f>D36+D38+D39+D37</f>
        <v>370766</v>
      </c>
      <c r="E35" s="239">
        <f t="shared" ref="E35:F35" si="15">E36+E38+E39+E37</f>
        <v>367080</v>
      </c>
      <c r="F35" s="239">
        <f t="shared" si="15"/>
        <v>370250</v>
      </c>
    </row>
    <row r="36" spans="1:6" s="207" customFormat="1" ht="12" x14ac:dyDescent="0.2">
      <c r="A36" s="200" t="s">
        <v>59</v>
      </c>
      <c r="B36" s="239">
        <v>191603.32</v>
      </c>
      <c r="C36" s="239">
        <v>283201</v>
      </c>
      <c r="D36" s="239">
        <v>345966</v>
      </c>
      <c r="E36" s="239">
        <v>344080</v>
      </c>
      <c r="F36" s="239">
        <v>347250</v>
      </c>
    </row>
    <row r="37" spans="1:6" s="207" customFormat="1" ht="12" x14ac:dyDescent="0.2">
      <c r="A37" s="210" t="s">
        <v>60</v>
      </c>
      <c r="B37" s="239"/>
      <c r="C37" s="239">
        <v>23950</v>
      </c>
      <c r="D37" s="239">
        <v>11800</v>
      </c>
      <c r="E37" s="239">
        <v>10000</v>
      </c>
      <c r="F37" s="239">
        <v>10000</v>
      </c>
    </row>
    <row r="38" spans="1:6" s="207" customFormat="1" ht="12" x14ac:dyDescent="0.2">
      <c r="A38" s="200" t="s">
        <v>61</v>
      </c>
      <c r="B38" s="239">
        <v>2660</v>
      </c>
      <c r="C38" s="239">
        <v>3500</v>
      </c>
      <c r="D38" s="239">
        <v>3000</v>
      </c>
      <c r="E38" s="239">
        <v>3000</v>
      </c>
      <c r="F38" s="239">
        <v>3000</v>
      </c>
    </row>
    <row r="39" spans="1:6" s="207" customFormat="1" ht="12" x14ac:dyDescent="0.2">
      <c r="A39" s="200" t="s">
        <v>62</v>
      </c>
      <c r="B39" s="239">
        <v>6352.52</v>
      </c>
      <c r="C39" s="239">
        <v>8000</v>
      </c>
      <c r="D39" s="239">
        <v>10000</v>
      </c>
      <c r="E39" s="239">
        <v>10000</v>
      </c>
      <c r="F39" s="239">
        <v>10000</v>
      </c>
    </row>
    <row r="40" spans="1:6" s="207" customFormat="1" ht="16.5" customHeight="1" x14ac:dyDescent="0.2">
      <c r="A40" s="198" t="s">
        <v>63</v>
      </c>
      <c r="B40" s="239">
        <f>B41+B42+B43+B44+B45</f>
        <v>93016.39</v>
      </c>
      <c r="C40" s="239">
        <f t="shared" ref="C40" si="16">C41+C42+C43+C44+C45</f>
        <v>157712</v>
      </c>
      <c r="D40" s="239">
        <f>D41+D42+D43+D44+D45</f>
        <v>172076</v>
      </c>
      <c r="E40" s="239">
        <f t="shared" ref="E40:F40" si="17">E41+E42+E43+E44+E45</f>
        <v>180740</v>
      </c>
      <c r="F40" s="239">
        <f t="shared" si="17"/>
        <v>101340</v>
      </c>
    </row>
    <row r="41" spans="1:6" s="207" customFormat="1" ht="12" x14ac:dyDescent="0.2">
      <c r="A41" s="200" t="s">
        <v>632</v>
      </c>
      <c r="B41" s="239">
        <v>58241.75</v>
      </c>
      <c r="C41" s="239">
        <v>89010</v>
      </c>
      <c r="D41" s="239">
        <v>106185</v>
      </c>
      <c r="E41" s="239">
        <v>106200</v>
      </c>
      <c r="F41" s="239">
        <v>24800</v>
      </c>
    </row>
    <row r="42" spans="1:6" s="207" customFormat="1" ht="12" x14ac:dyDescent="0.2">
      <c r="A42" s="200" t="s">
        <v>631</v>
      </c>
      <c r="B42" s="239">
        <v>30768.09</v>
      </c>
      <c r="C42" s="239">
        <v>60600</v>
      </c>
      <c r="D42" s="239">
        <f>54890+2000</f>
        <v>56890</v>
      </c>
      <c r="E42" s="239">
        <f>56600+2000</f>
        <v>58600</v>
      </c>
      <c r="F42" s="239">
        <f>58600+2000</f>
        <v>60600</v>
      </c>
    </row>
    <row r="43" spans="1:6" s="207" customFormat="1" ht="12" x14ac:dyDescent="0.2">
      <c r="A43" s="200" t="s">
        <v>618</v>
      </c>
      <c r="B43" s="239"/>
      <c r="C43" s="239">
        <v>6002</v>
      </c>
      <c r="D43" s="239">
        <f>6901</f>
        <v>6901</v>
      </c>
      <c r="E43" s="239">
        <v>13840</v>
      </c>
      <c r="F43" s="239">
        <v>13840</v>
      </c>
    </row>
    <row r="44" spans="1:6" s="207" customFormat="1" ht="27" customHeight="1" x14ac:dyDescent="0.2">
      <c r="A44" s="211" t="s">
        <v>633</v>
      </c>
      <c r="B44" s="239"/>
      <c r="C44" s="239">
        <v>2100</v>
      </c>
      <c r="D44" s="239">
        <v>2100</v>
      </c>
      <c r="E44" s="239">
        <v>2100</v>
      </c>
      <c r="F44" s="239">
        <v>2100</v>
      </c>
    </row>
    <row r="45" spans="1:6" s="207" customFormat="1" ht="24" x14ac:dyDescent="0.2">
      <c r="A45" s="211" t="s">
        <v>675</v>
      </c>
      <c r="B45" s="239">
        <v>4006.55</v>
      </c>
      <c r="C45" s="209"/>
      <c r="D45" s="209"/>
      <c r="E45" s="209"/>
      <c r="F45" s="209"/>
    </row>
    <row r="46" spans="1:6" s="207" customFormat="1" ht="12" x14ac:dyDescent="0.2">
      <c r="A46" s="205"/>
      <c r="B46" s="212"/>
      <c r="C46" s="212"/>
      <c r="D46" s="213"/>
      <c r="E46" s="212"/>
      <c r="F46" s="212"/>
    </row>
  </sheetData>
  <mergeCells count="2">
    <mergeCell ref="A1:F1"/>
    <mergeCell ref="A4:H4"/>
  </mergeCells>
  <pageMargins left="1.299212598425197" right="0.31496062992125984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31"/>
  <sheetViews>
    <sheetView workbookViewId="0">
      <selection activeCell="A20" sqref="A20:F2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s="119" customFormat="1" ht="14.25" customHeight="1" x14ac:dyDescent="0.2">
      <c r="A1" s="411" t="s">
        <v>565</v>
      </c>
      <c r="B1" s="411"/>
      <c r="C1" s="411"/>
      <c r="D1" s="411"/>
      <c r="E1" s="411"/>
      <c r="F1" s="411"/>
      <c r="G1" s="411"/>
      <c r="H1" s="411"/>
      <c r="I1" s="411"/>
    </row>
    <row r="2" spans="1:9" s="119" customFormat="1" ht="14.25" customHeight="1" x14ac:dyDescent="0.2">
      <c r="A2" s="229"/>
      <c r="B2" s="229"/>
      <c r="C2" s="229"/>
      <c r="D2" s="229"/>
      <c r="E2" s="229"/>
      <c r="F2" s="229"/>
      <c r="G2" s="229"/>
      <c r="H2" s="229"/>
      <c r="I2" s="229"/>
    </row>
    <row r="3" spans="1:9" s="120" customFormat="1" ht="17.25" customHeight="1" x14ac:dyDescent="0.2">
      <c r="A3" s="425" t="s">
        <v>904</v>
      </c>
      <c r="B3" s="425"/>
      <c r="C3" s="425"/>
      <c r="D3" s="425"/>
      <c r="E3" s="425"/>
      <c r="F3" s="425"/>
      <c r="G3" s="220"/>
      <c r="H3" s="220"/>
      <c r="I3" s="220"/>
    </row>
    <row r="4" spans="1:9" s="119" customFormat="1" ht="14.25" customHeight="1" x14ac:dyDescent="0.2">
      <c r="A4" s="229"/>
      <c r="B4" s="229"/>
      <c r="C4" s="229"/>
      <c r="D4" s="229"/>
      <c r="E4" s="229"/>
      <c r="F4" s="229"/>
      <c r="G4" s="229"/>
      <c r="H4" s="229"/>
      <c r="I4" s="229"/>
    </row>
    <row r="5" spans="1:9" ht="15.75" x14ac:dyDescent="0.25">
      <c r="A5" s="405" t="s">
        <v>29</v>
      </c>
      <c r="B5" s="405"/>
      <c r="C5" s="405"/>
      <c r="D5" s="405"/>
      <c r="E5" s="405"/>
      <c r="F5" s="405"/>
      <c r="G5" s="405"/>
      <c r="H5" s="406"/>
      <c r="I5" s="406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8" customHeight="1" x14ac:dyDescent="0.25">
      <c r="A7" s="405" t="s">
        <v>369</v>
      </c>
      <c r="B7" s="419"/>
      <c r="C7" s="419"/>
      <c r="D7" s="419"/>
      <c r="E7" s="419"/>
      <c r="F7" s="419"/>
      <c r="G7" s="419"/>
      <c r="H7" s="419"/>
      <c r="I7" s="419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17" t="s">
        <v>11</v>
      </c>
      <c r="B9" s="16" t="s">
        <v>12</v>
      </c>
      <c r="C9" s="16" t="s">
        <v>13</v>
      </c>
      <c r="D9" s="16" t="s">
        <v>41</v>
      </c>
      <c r="E9" s="16" t="s">
        <v>647</v>
      </c>
      <c r="F9" s="17" t="s">
        <v>648</v>
      </c>
      <c r="G9" s="17" t="s">
        <v>645</v>
      </c>
      <c r="H9" s="17" t="s">
        <v>356</v>
      </c>
      <c r="I9" s="17" t="s">
        <v>646</v>
      </c>
    </row>
    <row r="10" spans="1:9" ht="25.5" x14ac:dyDescent="0.25">
      <c r="A10" s="10">
        <v>8</v>
      </c>
      <c r="B10" s="10"/>
      <c r="C10" s="10"/>
      <c r="D10" s="10" t="s">
        <v>26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</row>
    <row r="11" spans="1:9" x14ac:dyDescent="0.25">
      <c r="A11" s="10"/>
      <c r="B11" s="14">
        <v>84</v>
      </c>
      <c r="C11" s="14"/>
      <c r="D11" s="14" t="s">
        <v>33</v>
      </c>
      <c r="E11" s="35"/>
      <c r="F11" s="36"/>
      <c r="G11" s="36"/>
      <c r="H11" s="36"/>
      <c r="I11" s="36"/>
    </row>
    <row r="12" spans="1:9" ht="25.5" x14ac:dyDescent="0.25">
      <c r="A12" s="11"/>
      <c r="B12" s="11"/>
      <c r="C12" s="12">
        <v>81</v>
      </c>
      <c r="D12" s="15" t="s">
        <v>34</v>
      </c>
      <c r="E12" s="35"/>
      <c r="F12" s="36"/>
      <c r="G12" s="36"/>
      <c r="H12" s="36"/>
      <c r="I12" s="36"/>
    </row>
    <row r="13" spans="1:9" ht="25.5" x14ac:dyDescent="0.25">
      <c r="A13" s="13">
        <v>5</v>
      </c>
      <c r="B13" s="13"/>
      <c r="C13" s="13"/>
      <c r="D13" s="28" t="s">
        <v>27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</row>
    <row r="14" spans="1:9" ht="25.5" x14ac:dyDescent="0.25">
      <c r="A14" s="14"/>
      <c r="B14" s="14">
        <v>54</v>
      </c>
      <c r="C14" s="14"/>
      <c r="D14" s="29" t="s">
        <v>35</v>
      </c>
      <c r="E14" s="35"/>
      <c r="F14" s="36"/>
      <c r="G14" s="36"/>
      <c r="H14" s="36"/>
      <c r="I14" s="37"/>
    </row>
    <row r="15" spans="1:9" x14ac:dyDescent="0.25">
      <c r="A15" s="14"/>
      <c r="B15" s="14"/>
      <c r="C15" s="56" t="s">
        <v>120</v>
      </c>
      <c r="D15" s="57" t="s">
        <v>16</v>
      </c>
      <c r="E15" s="35"/>
      <c r="F15" s="36"/>
      <c r="G15" s="36"/>
      <c r="H15" s="36"/>
      <c r="I15" s="37"/>
    </row>
    <row r="16" spans="1:9" x14ac:dyDescent="0.25">
      <c r="A16" s="14"/>
      <c r="B16" s="14"/>
      <c r="C16" s="12">
        <v>31</v>
      </c>
      <c r="D16" s="12" t="s">
        <v>36</v>
      </c>
      <c r="E16" s="35"/>
      <c r="F16" s="36"/>
      <c r="G16" s="36"/>
      <c r="H16" s="36"/>
      <c r="I16" s="37"/>
    </row>
    <row r="18" spans="1:9" s="119" customFormat="1" ht="14.25" customHeight="1" x14ac:dyDescent="0.2">
      <c r="A18" s="411" t="s">
        <v>680</v>
      </c>
      <c r="B18" s="411"/>
      <c r="C18" s="411"/>
      <c r="D18" s="411"/>
      <c r="E18" s="411"/>
      <c r="F18" s="411"/>
      <c r="G18" s="411"/>
      <c r="H18" s="411"/>
      <c r="I18" s="411"/>
    </row>
    <row r="20" spans="1:9" s="120" customFormat="1" ht="17.25" customHeight="1" x14ac:dyDescent="0.2">
      <c r="A20" s="425" t="s">
        <v>905</v>
      </c>
      <c r="B20" s="425"/>
      <c r="C20" s="425"/>
      <c r="D20" s="425"/>
      <c r="E20" s="425"/>
      <c r="F20" s="425"/>
      <c r="G20" s="220"/>
      <c r="H20" s="220"/>
      <c r="I20" s="220"/>
    </row>
    <row r="22" spans="1:9" ht="18" customHeight="1" x14ac:dyDescent="0.25">
      <c r="A22" s="405" t="s">
        <v>370</v>
      </c>
      <c r="B22" s="419"/>
      <c r="C22" s="419"/>
      <c r="D22" s="419"/>
      <c r="E22" s="419"/>
      <c r="F22" s="419"/>
      <c r="G22" s="419"/>
      <c r="H22" s="419"/>
      <c r="I22" s="419"/>
    </row>
    <row r="23" spans="1:9" ht="18" x14ac:dyDescent="0.25">
      <c r="A23" s="5"/>
      <c r="B23" s="5"/>
      <c r="C23" s="5"/>
      <c r="D23" s="5"/>
      <c r="E23" s="5"/>
      <c r="F23" s="5"/>
      <c r="G23" s="5"/>
      <c r="H23" s="6"/>
      <c r="I23" s="6"/>
    </row>
    <row r="24" spans="1:9" ht="25.5" x14ac:dyDescent="0.25">
      <c r="A24" s="17" t="s">
        <v>11</v>
      </c>
      <c r="B24" s="16" t="s">
        <v>12</v>
      </c>
      <c r="C24" s="16" t="s">
        <v>13</v>
      </c>
      <c r="D24" s="16" t="s">
        <v>41</v>
      </c>
      <c r="E24" s="16" t="s">
        <v>647</v>
      </c>
      <c r="F24" s="17" t="s">
        <v>648</v>
      </c>
      <c r="G24" s="17" t="s">
        <v>645</v>
      </c>
      <c r="H24" s="17" t="s">
        <v>356</v>
      </c>
      <c r="I24" s="17" t="s">
        <v>646</v>
      </c>
    </row>
    <row r="25" spans="1:9" ht="25.5" x14ac:dyDescent="0.25">
      <c r="A25" s="10">
        <v>8</v>
      </c>
      <c r="B25" s="10"/>
      <c r="C25" s="10"/>
      <c r="D25" s="10" t="s">
        <v>26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</row>
    <row r="26" spans="1:9" x14ac:dyDescent="0.25">
      <c r="A26" s="10"/>
      <c r="B26" s="14">
        <v>84</v>
      </c>
      <c r="C26" s="14"/>
      <c r="D26" s="14" t="s">
        <v>33</v>
      </c>
      <c r="E26" s="35"/>
      <c r="F26" s="36"/>
      <c r="G26" s="36"/>
      <c r="H26" s="36"/>
      <c r="I26" s="36"/>
    </row>
    <row r="27" spans="1:9" ht="25.5" x14ac:dyDescent="0.25">
      <c r="A27" s="11"/>
      <c r="B27" s="11"/>
      <c r="C27" s="12">
        <v>81</v>
      </c>
      <c r="D27" s="15" t="s">
        <v>34</v>
      </c>
      <c r="E27" s="35"/>
      <c r="F27" s="36"/>
      <c r="G27" s="36"/>
      <c r="H27" s="36"/>
      <c r="I27" s="36"/>
    </row>
    <row r="28" spans="1:9" ht="25.5" x14ac:dyDescent="0.25">
      <c r="A28" s="13">
        <v>5</v>
      </c>
      <c r="B28" s="13"/>
      <c r="C28" s="13"/>
      <c r="D28" s="28" t="s">
        <v>27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</row>
    <row r="29" spans="1:9" ht="25.5" x14ac:dyDescent="0.25">
      <c r="A29" s="14"/>
      <c r="B29" s="14">
        <v>54</v>
      </c>
      <c r="C29" s="14"/>
      <c r="D29" s="29" t="s">
        <v>35</v>
      </c>
      <c r="E29" s="35"/>
      <c r="F29" s="36"/>
      <c r="G29" s="36"/>
      <c r="H29" s="36"/>
      <c r="I29" s="37"/>
    </row>
    <row r="30" spans="1:9" x14ac:dyDescent="0.25">
      <c r="A30" s="14"/>
      <c r="B30" s="14"/>
      <c r="C30" s="56" t="s">
        <v>120</v>
      </c>
      <c r="D30" s="57" t="s">
        <v>16</v>
      </c>
      <c r="E30" s="35"/>
      <c r="F30" s="36"/>
      <c r="G30" s="36"/>
      <c r="H30" s="36"/>
      <c r="I30" s="37"/>
    </row>
    <row r="31" spans="1:9" x14ac:dyDescent="0.25">
      <c r="A31" s="14"/>
      <c r="B31" s="14"/>
      <c r="C31" s="12">
        <v>31</v>
      </c>
      <c r="D31" s="12" t="s">
        <v>36</v>
      </c>
      <c r="E31" s="35"/>
      <c r="F31" s="36"/>
      <c r="G31" s="36"/>
      <c r="H31" s="36"/>
      <c r="I31" s="37"/>
    </row>
  </sheetData>
  <mergeCells count="7">
    <mergeCell ref="A22:I22"/>
    <mergeCell ref="A1:I1"/>
    <mergeCell ref="A3:F3"/>
    <mergeCell ref="A20:F20"/>
    <mergeCell ref="A18:I18"/>
    <mergeCell ref="A5:I5"/>
    <mergeCell ref="A7:I7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6D1FA-7EF8-45CE-A253-6D1F15D7B2CB}">
  <dimension ref="A1:L14"/>
  <sheetViews>
    <sheetView workbookViewId="0">
      <selection activeCell="A7" sqref="A7"/>
    </sheetView>
  </sheetViews>
  <sheetFormatPr defaultRowHeight="15" x14ac:dyDescent="0.25"/>
  <cols>
    <col min="3" max="4" width="9.7109375" customWidth="1"/>
    <col min="5" max="5" width="19.140625" customWidth="1"/>
    <col min="6" max="6" width="9.7109375" customWidth="1"/>
    <col min="7" max="7" width="13.5703125" customWidth="1"/>
    <col min="8" max="8" width="9.7109375" customWidth="1"/>
    <col min="9" max="9" width="13.7109375" customWidth="1"/>
    <col min="10" max="10" width="9.7109375" customWidth="1"/>
    <col min="11" max="11" width="13.7109375" customWidth="1"/>
    <col min="12" max="12" width="9.7109375" customWidth="1"/>
  </cols>
  <sheetData>
    <row r="1" spans="1:12" s="119" customFormat="1" ht="14.25" customHeight="1" x14ac:dyDescent="0.2">
      <c r="A1" s="411" t="s">
        <v>681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</row>
    <row r="2" spans="1:12" s="119" customFormat="1" ht="14.25" customHeight="1" x14ac:dyDescent="0.2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12" ht="15.75" customHeight="1" x14ac:dyDescent="0.25">
      <c r="A3" s="405" t="s">
        <v>29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</row>
    <row r="4" spans="1:12" ht="18" x14ac:dyDescent="0.25">
      <c r="B4" s="5"/>
      <c r="C4" s="5"/>
      <c r="D4" s="5"/>
      <c r="E4" s="5"/>
      <c r="F4" s="5"/>
      <c r="G4" s="5"/>
      <c r="H4" s="5"/>
      <c r="I4" s="6"/>
      <c r="J4" s="6"/>
    </row>
    <row r="5" spans="1:12" ht="18" customHeight="1" x14ac:dyDescent="0.25">
      <c r="A5" s="405" t="s">
        <v>555</v>
      </c>
      <c r="B5" s="405"/>
      <c r="C5" s="405"/>
      <c r="D5" s="405"/>
      <c r="E5" s="405"/>
      <c r="F5" s="405"/>
      <c r="G5" s="405"/>
      <c r="H5" s="405"/>
      <c r="I5" s="405"/>
      <c r="J5" s="405"/>
      <c r="K5" s="405"/>
      <c r="L5" s="405"/>
    </row>
    <row r="6" spans="1:12" ht="18" customHeight="1" x14ac:dyDescent="0.25">
      <c r="B6" s="30"/>
      <c r="C6" s="138"/>
      <c r="D6" s="138"/>
      <c r="E6" s="138"/>
      <c r="F6" s="138"/>
      <c r="G6" s="138"/>
      <c r="H6" s="138"/>
      <c r="I6" s="138"/>
      <c r="J6" s="138"/>
    </row>
    <row r="7" spans="1:12" s="119" customFormat="1" ht="18" customHeight="1" x14ac:dyDescent="0.2">
      <c r="A7" s="64" t="s">
        <v>896</v>
      </c>
      <c r="B7" s="64"/>
      <c r="C7" s="64"/>
      <c r="D7" s="64"/>
      <c r="E7" s="64"/>
      <c r="F7" s="64"/>
      <c r="G7" s="219"/>
      <c r="H7" s="219"/>
      <c r="I7" s="219"/>
      <c r="J7" s="219"/>
    </row>
    <row r="8" spans="1:12" s="119" customFormat="1" ht="18" customHeight="1" x14ac:dyDescent="0.2">
      <c r="A8" s="64"/>
      <c r="B8" s="64"/>
      <c r="C8" s="64"/>
      <c r="D8" s="64"/>
      <c r="E8" s="64"/>
      <c r="F8" s="64"/>
      <c r="G8" s="219"/>
      <c r="H8" s="219"/>
      <c r="I8" s="219"/>
      <c r="J8" s="219"/>
    </row>
    <row r="9" spans="1:12" s="119" customFormat="1" ht="18" customHeight="1" x14ac:dyDescent="0.2">
      <c r="A9" s="64"/>
      <c r="B9" s="64"/>
      <c r="C9" s="64"/>
      <c r="D9" s="64"/>
      <c r="E9" s="64"/>
      <c r="F9" s="64"/>
      <c r="G9" s="219"/>
      <c r="H9" s="219"/>
      <c r="I9" s="219"/>
      <c r="J9" s="219"/>
    </row>
    <row r="10" spans="1:12" x14ac:dyDescent="0.25">
      <c r="K10" t="s">
        <v>355</v>
      </c>
    </row>
    <row r="11" spans="1:12" x14ac:dyDescent="0.25">
      <c r="B11" s="187" t="s">
        <v>556</v>
      </c>
      <c r="C11" s="188"/>
      <c r="D11" s="188"/>
      <c r="E11" s="189"/>
      <c r="F11" s="437" t="s">
        <v>557</v>
      </c>
      <c r="G11" s="438"/>
      <c r="H11" s="437" t="s">
        <v>558</v>
      </c>
      <c r="I11" s="438"/>
      <c r="J11" s="437" t="s">
        <v>676</v>
      </c>
      <c r="K11" s="439"/>
    </row>
    <row r="12" spans="1:12" ht="14.25" customHeight="1" x14ac:dyDescent="0.25">
      <c r="B12" s="173" t="s">
        <v>568</v>
      </c>
      <c r="C12" s="174"/>
      <c r="D12" s="174"/>
      <c r="E12" s="175"/>
      <c r="F12" s="173"/>
      <c r="G12" s="174"/>
      <c r="H12" s="173"/>
      <c r="I12" s="174"/>
      <c r="J12" s="173"/>
      <c r="K12" s="175"/>
    </row>
    <row r="13" spans="1:12" s="117" customFormat="1" ht="28.5" customHeight="1" x14ac:dyDescent="0.25">
      <c r="B13" s="190">
        <v>9</v>
      </c>
      <c r="C13" s="191" t="s">
        <v>559</v>
      </c>
      <c r="D13" s="192"/>
      <c r="E13" s="193"/>
      <c r="F13" s="440">
        <f>F14</f>
        <v>200000</v>
      </c>
      <c r="G13" s="440"/>
      <c r="H13" s="440">
        <f t="shared" ref="H13" si="0">H14</f>
        <v>0</v>
      </c>
      <c r="I13" s="440"/>
      <c r="J13" s="440">
        <f t="shared" ref="J13" si="1">J14</f>
        <v>0</v>
      </c>
      <c r="K13" s="440"/>
    </row>
    <row r="14" spans="1:12" ht="27" customHeight="1" x14ac:dyDescent="0.25">
      <c r="B14" s="179">
        <v>92</v>
      </c>
      <c r="C14" s="176" t="s">
        <v>560</v>
      </c>
      <c r="D14" s="177"/>
      <c r="E14" s="178"/>
      <c r="F14" s="436">
        <v>200000</v>
      </c>
      <c r="G14" s="436"/>
      <c r="H14" s="436"/>
      <c r="I14" s="436"/>
      <c r="J14" s="436"/>
      <c r="K14" s="436"/>
    </row>
  </sheetData>
  <mergeCells count="12">
    <mergeCell ref="A1:L1"/>
    <mergeCell ref="H14:I14"/>
    <mergeCell ref="J14:K14"/>
    <mergeCell ref="A3:L3"/>
    <mergeCell ref="A5:L5"/>
    <mergeCell ref="F11:G11"/>
    <mergeCell ref="H11:I11"/>
    <mergeCell ref="J11:K11"/>
    <mergeCell ref="F13:G13"/>
    <mergeCell ref="H13:I13"/>
    <mergeCell ref="J13:K13"/>
    <mergeCell ref="F14:G14"/>
  </mergeCells>
  <pageMargins left="1.299212598425197" right="0.7086614173228347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2"/>
  <sheetViews>
    <sheetView zoomScale="110" zoomScaleNormal="110" workbookViewId="0">
      <selection activeCell="P9" sqref="P9"/>
    </sheetView>
  </sheetViews>
  <sheetFormatPr defaultRowHeight="15" x14ac:dyDescent="0.25"/>
  <cols>
    <col min="1" max="1" width="3.7109375" customWidth="1"/>
    <col min="2" max="2" width="8.42578125" customWidth="1"/>
    <col min="3" max="3" width="8.7109375" customWidth="1"/>
    <col min="4" max="4" width="30" customWidth="1"/>
    <col min="5" max="5" width="17" customWidth="1"/>
    <col min="6" max="7" width="15.140625" customWidth="1"/>
    <col min="10" max="10" width="9.28515625" hidden="1" customWidth="1"/>
    <col min="11" max="13" width="13.28515625" hidden="1" customWidth="1"/>
    <col min="14" max="14" width="0" hidden="1" customWidth="1"/>
  </cols>
  <sheetData>
    <row r="1" spans="1:13" ht="18" customHeight="1" x14ac:dyDescent="0.25">
      <c r="A1" s="405" t="s">
        <v>28</v>
      </c>
      <c r="B1" s="419"/>
      <c r="C1" s="419"/>
      <c r="D1" s="419"/>
      <c r="E1" s="419"/>
      <c r="F1" s="419"/>
      <c r="G1" s="419"/>
    </row>
    <row r="2" spans="1:13" ht="18" customHeight="1" x14ac:dyDescent="0.25">
      <c r="A2" s="30"/>
      <c r="B2" s="138"/>
      <c r="C2" s="138"/>
      <c r="D2" s="138"/>
      <c r="E2" s="138"/>
      <c r="F2" s="138"/>
      <c r="G2" s="138"/>
    </row>
    <row r="3" spans="1:13" ht="18" customHeight="1" x14ac:dyDescent="0.25">
      <c r="A3" s="411" t="s">
        <v>682</v>
      </c>
      <c r="B3" s="411"/>
      <c r="C3" s="411"/>
      <c r="D3" s="411"/>
      <c r="E3" s="411"/>
      <c r="F3" s="411"/>
      <c r="G3" s="411"/>
    </row>
    <row r="4" spans="1:13" s="120" customFormat="1" ht="18" customHeight="1" x14ac:dyDescent="0.2">
      <c r="A4" s="425" t="s">
        <v>906</v>
      </c>
      <c r="B4" s="425"/>
      <c r="C4" s="425"/>
      <c r="D4" s="425"/>
      <c r="E4" s="425"/>
      <c r="F4" s="425"/>
      <c r="G4" s="425"/>
    </row>
    <row r="5" spans="1:13" ht="18" customHeight="1" x14ac:dyDescent="0.25">
      <c r="A5" s="513" t="s">
        <v>562</v>
      </c>
      <c r="B5" s="513"/>
      <c r="C5" s="513"/>
      <c r="D5" s="513"/>
      <c r="E5" s="513"/>
      <c r="F5" s="513"/>
      <c r="G5" s="513"/>
    </row>
    <row r="6" spans="1:13" ht="18" customHeight="1" x14ac:dyDescent="0.25">
      <c r="B6" s="138"/>
      <c r="C6" s="138"/>
      <c r="D6" s="138"/>
      <c r="E6" s="138"/>
      <c r="F6" s="517"/>
      <c r="G6" s="517"/>
    </row>
    <row r="7" spans="1:13" ht="18" x14ac:dyDescent="0.25">
      <c r="A7" s="5"/>
      <c r="B7" s="5"/>
      <c r="C7" s="5"/>
      <c r="D7" s="5"/>
      <c r="E7" s="5"/>
      <c r="F7" s="6"/>
      <c r="G7" s="6"/>
      <c r="K7">
        <v>2025</v>
      </c>
      <c r="L7">
        <v>2026</v>
      </c>
      <c r="M7">
        <v>2027</v>
      </c>
    </row>
    <row r="8" spans="1:13" s="120" customFormat="1" ht="38.25" x14ac:dyDescent="0.2">
      <c r="A8" s="506" t="s">
        <v>30</v>
      </c>
      <c r="B8" s="507"/>
      <c r="C8" s="508"/>
      <c r="D8" s="16" t="s">
        <v>31</v>
      </c>
      <c r="E8" s="17" t="s">
        <v>645</v>
      </c>
      <c r="F8" s="17" t="s">
        <v>356</v>
      </c>
      <c r="G8" s="17" t="s">
        <v>646</v>
      </c>
      <c r="J8" s="120">
        <v>31</v>
      </c>
      <c r="K8" s="137">
        <f>E19+E59+E92+E320+E410</f>
        <v>568445</v>
      </c>
      <c r="L8" s="137">
        <f>F19+F59+F92+F320+F410</f>
        <v>579600</v>
      </c>
      <c r="M8" s="137">
        <f>G19+G59+G92+G320+G410</f>
        <v>501650</v>
      </c>
    </row>
    <row r="9" spans="1:13" s="120" customFormat="1" ht="19.5" customHeight="1" x14ac:dyDescent="0.2">
      <c r="A9" s="514" t="s">
        <v>119</v>
      </c>
      <c r="B9" s="515"/>
      <c r="C9" s="515"/>
      <c r="D9" s="516"/>
      <c r="E9" s="186">
        <f>E10+E45</f>
        <v>2244186</v>
      </c>
      <c r="F9" s="186">
        <f>F10+F45</f>
        <v>2134601</v>
      </c>
      <c r="G9" s="186">
        <f>G10+G45</f>
        <v>2119540</v>
      </c>
      <c r="J9" s="120">
        <v>32</v>
      </c>
      <c r="K9" s="137">
        <f>E20+E26+E32+E38+E44+E60+E73+E93+E129+E134+E140+E145+E155+E161+E168+E247+E253+E264+E279+E286+E307+E321+E332+E411</f>
        <v>415617</v>
      </c>
      <c r="L9" s="137">
        <f>F20+F26+F44+F60+F93+F129+F134+F140+F145+F155+F161+F168+F247+F253+F264+F279+F286+F307+F321+F332+F411</f>
        <v>525121</v>
      </c>
      <c r="M9" s="137">
        <f>G20+G26+G44+G60+G93+G129+G134+G140+G145+G155+G161+G168+G247+G253+G264+G279+G286+G307+G321+G411</f>
        <v>552390</v>
      </c>
    </row>
    <row r="10" spans="1:13" s="120" customFormat="1" ht="15.75" customHeight="1" x14ac:dyDescent="0.2">
      <c r="A10" s="509" t="s">
        <v>64</v>
      </c>
      <c r="B10" s="509"/>
      <c r="C10" s="509"/>
      <c r="D10" s="509"/>
      <c r="E10" s="330">
        <f t="shared" ref="E10:G10" si="0">E11</f>
        <v>95312</v>
      </c>
      <c r="F10" s="330">
        <f>F11</f>
        <v>72360</v>
      </c>
      <c r="G10" s="330">
        <f t="shared" si="0"/>
        <v>72560</v>
      </c>
      <c r="J10" s="120">
        <v>34</v>
      </c>
      <c r="K10" s="137">
        <f>E61+E322</f>
        <v>4392</v>
      </c>
      <c r="L10" s="137">
        <f>F61+F322</f>
        <v>4500</v>
      </c>
      <c r="M10" s="137">
        <f>G61+G322</f>
        <v>4500</v>
      </c>
    </row>
    <row r="11" spans="1:13" s="120" customFormat="1" ht="15.75" customHeight="1" x14ac:dyDescent="0.2">
      <c r="A11" s="510" t="s">
        <v>65</v>
      </c>
      <c r="B11" s="511"/>
      <c r="C11" s="511"/>
      <c r="D11" s="512"/>
      <c r="E11" s="331">
        <f>E14</f>
        <v>95312</v>
      </c>
      <c r="F11" s="331">
        <f>F14</f>
        <v>72360</v>
      </c>
      <c r="G11" s="331">
        <f>G14</f>
        <v>72560</v>
      </c>
      <c r="J11" s="120">
        <v>35</v>
      </c>
      <c r="K11" s="137">
        <f>E105+E113+E265</f>
        <v>21300</v>
      </c>
      <c r="L11" s="137">
        <f>F105+F113+F265</f>
        <v>20200</v>
      </c>
      <c r="M11" s="137">
        <f>G105+G113+G265</f>
        <v>20200</v>
      </c>
    </row>
    <row r="12" spans="1:13" s="120" customFormat="1" ht="15.75" customHeight="1" x14ac:dyDescent="0.2">
      <c r="A12" s="160" t="s">
        <v>890</v>
      </c>
      <c r="B12" s="161"/>
      <c r="C12" s="161"/>
      <c r="D12" s="398"/>
      <c r="E12" s="72">
        <f>E17+E24+E35+E42</f>
        <v>81312</v>
      </c>
      <c r="F12" s="72">
        <f t="shared" ref="F12:G12" si="1">F17+F24+F35+F42</f>
        <v>72360</v>
      </c>
      <c r="G12" s="72">
        <f t="shared" si="1"/>
        <v>72560</v>
      </c>
      <c r="K12" s="137"/>
      <c r="L12" s="137"/>
      <c r="M12" s="137"/>
    </row>
    <row r="13" spans="1:13" s="120" customFormat="1" ht="15.75" customHeight="1" x14ac:dyDescent="0.2">
      <c r="A13" s="160" t="s">
        <v>891</v>
      </c>
      <c r="B13" s="161"/>
      <c r="C13" s="161"/>
      <c r="D13" s="398"/>
      <c r="E13" s="72">
        <f>E30+E36</f>
        <v>14000</v>
      </c>
      <c r="F13" s="72">
        <f t="shared" ref="F13:G13" si="2">F30+F36</f>
        <v>0</v>
      </c>
      <c r="G13" s="72">
        <f t="shared" si="2"/>
        <v>0</v>
      </c>
      <c r="K13" s="137"/>
      <c r="L13" s="137"/>
      <c r="M13" s="137"/>
    </row>
    <row r="14" spans="1:13" s="120" customFormat="1" ht="15" customHeight="1" x14ac:dyDescent="0.2">
      <c r="A14" s="51" t="s">
        <v>404</v>
      </c>
      <c r="B14" s="51"/>
      <c r="C14" s="51"/>
      <c r="D14" s="51"/>
      <c r="E14" s="52">
        <f>E15+E40+E22+E28+E33</f>
        <v>95312</v>
      </c>
      <c r="F14" s="52">
        <f>F15+F40+F22</f>
        <v>72360</v>
      </c>
      <c r="G14" s="52">
        <f>G15+G40+G22</f>
        <v>72560</v>
      </c>
      <c r="J14" s="120">
        <v>36</v>
      </c>
      <c r="K14" s="137">
        <f>E86+E106+E248+E333+E362</f>
        <v>45592</v>
      </c>
      <c r="L14" s="137">
        <f>F86+F106+F248+F333+F362</f>
        <v>55600</v>
      </c>
      <c r="M14" s="137">
        <f>G86+G106+G248+G333+G362</f>
        <v>67600</v>
      </c>
    </row>
    <row r="15" spans="1:13" s="120" customFormat="1" ht="12.75" customHeight="1" x14ac:dyDescent="0.2">
      <c r="A15" s="490" t="s">
        <v>858</v>
      </c>
      <c r="B15" s="491"/>
      <c r="C15" s="491"/>
      <c r="D15" s="492"/>
      <c r="E15" s="371">
        <f t="shared" ref="E15:G15" si="3">E18</f>
        <v>49252</v>
      </c>
      <c r="F15" s="371">
        <f t="shared" si="3"/>
        <v>49400</v>
      </c>
      <c r="G15" s="371">
        <f t="shared" si="3"/>
        <v>49600</v>
      </c>
      <c r="J15" s="120">
        <v>37</v>
      </c>
      <c r="K15" s="137">
        <f>E338+E345+E351+E399+E405</f>
        <v>66300</v>
      </c>
      <c r="L15" s="137">
        <f>F338+F345+F351+F399+F405</f>
        <v>68000</v>
      </c>
      <c r="M15" s="137">
        <f>G338+G345+G351+G399+G405</f>
        <v>70000</v>
      </c>
    </row>
    <row r="16" spans="1:13" s="120" customFormat="1" ht="15" customHeight="1" x14ac:dyDescent="0.2">
      <c r="A16" s="332" t="s">
        <v>406</v>
      </c>
      <c r="B16" s="333"/>
      <c r="C16" s="333"/>
      <c r="D16" s="334"/>
      <c r="E16" s="335"/>
      <c r="F16" s="335"/>
      <c r="G16" s="335"/>
      <c r="J16" s="120">
        <v>38</v>
      </c>
      <c r="K16" s="137">
        <f>E21+E27+E308+E363+E369+E378+E384+E390+E400+E417+E423+E431</f>
        <v>127790</v>
      </c>
      <c r="L16" s="137">
        <f>F21+F27+F308+F363+F369+F378+F384+F390+F400+F417+F423+F431</f>
        <v>128300</v>
      </c>
      <c r="M16" s="137">
        <f>G21+G27+G308+G363+G369+G378+G384+G390+G400+G417+G423+G431</f>
        <v>126300</v>
      </c>
    </row>
    <row r="17" spans="1:13" s="120" customFormat="1" ht="15" customHeight="1" x14ac:dyDescent="0.2">
      <c r="A17" s="450" t="s">
        <v>865</v>
      </c>
      <c r="B17" s="451"/>
      <c r="C17" s="451"/>
      <c r="D17" s="451"/>
      <c r="E17" s="46">
        <v>49252</v>
      </c>
      <c r="F17" s="46">
        <v>49400</v>
      </c>
      <c r="G17" s="46">
        <v>49600</v>
      </c>
      <c r="K17" s="137">
        <f>SUM(K8:K16)</f>
        <v>1249436</v>
      </c>
      <c r="L17" s="137">
        <f>SUM(L8:L16)</f>
        <v>1381321</v>
      </c>
      <c r="M17" s="137">
        <f>SUM(M8:M16)</f>
        <v>1342640</v>
      </c>
    </row>
    <row r="18" spans="1:13" s="120" customFormat="1" ht="12.75" x14ac:dyDescent="0.2">
      <c r="A18" s="447">
        <v>3</v>
      </c>
      <c r="B18" s="448"/>
      <c r="C18" s="449"/>
      <c r="D18" s="19" t="s">
        <v>18</v>
      </c>
      <c r="E18" s="35">
        <f t="shared" ref="E18:G18" si="4">E19+E20+E21</f>
        <v>49252</v>
      </c>
      <c r="F18" s="35">
        <f>F19+F20+F21</f>
        <v>49400</v>
      </c>
      <c r="G18" s="35">
        <f t="shared" si="4"/>
        <v>49600</v>
      </c>
    </row>
    <row r="19" spans="1:13" s="120" customFormat="1" ht="12.75" x14ac:dyDescent="0.2">
      <c r="A19" s="453">
        <v>31</v>
      </c>
      <c r="B19" s="454"/>
      <c r="C19" s="455"/>
      <c r="D19" s="19" t="s">
        <v>21</v>
      </c>
      <c r="E19" s="36">
        <v>46252</v>
      </c>
      <c r="F19" s="36">
        <v>46400</v>
      </c>
      <c r="G19" s="37">
        <v>46600</v>
      </c>
      <c r="J19" s="120">
        <v>42</v>
      </c>
      <c r="K19" s="137">
        <f>E68+E79+E175+E199+E207+E212+E217+E240+E271+E305+E324</f>
        <v>822750</v>
      </c>
      <c r="L19" s="137">
        <f>F68+F79+F223+F231+F258+F305+F324</f>
        <v>466280</v>
      </c>
      <c r="M19" s="137">
        <f>G68+G79+G223+G231+G258+G305+G324</f>
        <v>580900</v>
      </c>
    </row>
    <row r="20" spans="1:13" s="120" customFormat="1" ht="12.75" x14ac:dyDescent="0.2">
      <c r="A20" s="443">
        <v>32</v>
      </c>
      <c r="B20" s="444"/>
      <c r="C20" s="445"/>
      <c r="D20" s="19" t="s">
        <v>32</v>
      </c>
      <c r="E20" s="36">
        <v>2000</v>
      </c>
      <c r="F20" s="36">
        <v>2000</v>
      </c>
      <c r="G20" s="36">
        <v>2000</v>
      </c>
      <c r="J20" s="233">
        <v>45</v>
      </c>
      <c r="K20" s="137">
        <f>E181+E187+E193+E281+E291</f>
        <v>172000</v>
      </c>
      <c r="L20" s="137">
        <f>F281+F298</f>
        <v>287000</v>
      </c>
      <c r="M20" s="137">
        <f>G298</f>
        <v>196000</v>
      </c>
    </row>
    <row r="21" spans="1:13" s="120" customFormat="1" ht="12.75" x14ac:dyDescent="0.2">
      <c r="A21" s="443">
        <v>38</v>
      </c>
      <c r="B21" s="444"/>
      <c r="C21" s="445"/>
      <c r="D21" s="19" t="s">
        <v>50</v>
      </c>
      <c r="E21" s="36">
        <v>1000</v>
      </c>
      <c r="F21" s="36">
        <v>1000</v>
      </c>
      <c r="G21" s="36">
        <v>1000</v>
      </c>
      <c r="K21" s="137">
        <f>K19+K20</f>
        <v>994750</v>
      </c>
      <c r="L21" s="137">
        <f t="shared" ref="L21:M21" si="5">L19+L20</f>
        <v>753280</v>
      </c>
      <c r="M21" s="137">
        <f t="shared" si="5"/>
        <v>776900</v>
      </c>
    </row>
    <row r="22" spans="1:13" s="120" customFormat="1" ht="24.75" customHeight="1" x14ac:dyDescent="0.2">
      <c r="A22" s="458" t="s">
        <v>571</v>
      </c>
      <c r="B22" s="459"/>
      <c r="C22" s="459"/>
      <c r="D22" s="460"/>
      <c r="E22" s="371">
        <f>E25</f>
        <v>7960</v>
      </c>
      <c r="F22" s="371">
        <f t="shared" ref="F22:G22" si="6">F25</f>
        <v>7960</v>
      </c>
      <c r="G22" s="371">
        <f t="shared" si="6"/>
        <v>7960</v>
      </c>
    </row>
    <row r="23" spans="1:13" s="120" customFormat="1" ht="15" customHeight="1" x14ac:dyDescent="0.2">
      <c r="A23" s="332" t="s">
        <v>406</v>
      </c>
      <c r="B23" s="333"/>
      <c r="C23" s="333"/>
      <c r="D23" s="334"/>
      <c r="E23" s="335"/>
      <c r="F23" s="335"/>
      <c r="G23" s="335"/>
    </row>
    <row r="24" spans="1:13" s="120" customFormat="1" ht="12.75" x14ac:dyDescent="0.2">
      <c r="A24" s="450" t="s">
        <v>888</v>
      </c>
      <c r="B24" s="451"/>
      <c r="C24" s="451"/>
      <c r="D24" s="451"/>
      <c r="E24" s="47">
        <v>7960</v>
      </c>
      <c r="F24" s="47">
        <v>7960</v>
      </c>
      <c r="G24" s="47">
        <v>7960</v>
      </c>
      <c r="J24" s="120" t="s">
        <v>846</v>
      </c>
      <c r="K24" s="137">
        <f>K17+K21</f>
        <v>2244186</v>
      </c>
      <c r="L24" s="137">
        <f t="shared" ref="L24:M24" si="7">L17+L21</f>
        <v>2134601</v>
      </c>
      <c r="M24" s="137">
        <f t="shared" si="7"/>
        <v>2119540</v>
      </c>
    </row>
    <row r="25" spans="1:13" s="120" customFormat="1" ht="12.75" x14ac:dyDescent="0.2">
      <c r="A25" s="447">
        <v>3</v>
      </c>
      <c r="B25" s="448"/>
      <c r="C25" s="449"/>
      <c r="D25" s="19" t="s">
        <v>18</v>
      </c>
      <c r="E25" s="35">
        <f t="shared" ref="E25:G25" si="8">E26+E27</f>
        <v>7960</v>
      </c>
      <c r="F25" s="35">
        <f t="shared" si="8"/>
        <v>7960</v>
      </c>
      <c r="G25" s="35">
        <f t="shared" si="8"/>
        <v>7960</v>
      </c>
    </row>
    <row r="26" spans="1:13" s="120" customFormat="1" ht="12.75" x14ac:dyDescent="0.2">
      <c r="A26" s="443">
        <v>32</v>
      </c>
      <c r="B26" s="444"/>
      <c r="C26" s="445"/>
      <c r="D26" s="19" t="s">
        <v>32</v>
      </c>
      <c r="E26" s="36">
        <v>6360</v>
      </c>
      <c r="F26" s="36">
        <v>6360</v>
      </c>
      <c r="G26" s="37">
        <v>6360</v>
      </c>
    </row>
    <row r="27" spans="1:13" s="120" customFormat="1" ht="12.75" x14ac:dyDescent="0.2">
      <c r="A27" s="443">
        <v>38</v>
      </c>
      <c r="B27" s="444"/>
      <c r="C27" s="445"/>
      <c r="D27" s="19" t="s">
        <v>50</v>
      </c>
      <c r="E27" s="36">
        <v>1600</v>
      </c>
      <c r="F27" s="36">
        <v>1600</v>
      </c>
      <c r="G27" s="37">
        <v>1600</v>
      </c>
    </row>
    <row r="28" spans="1:13" s="120" customFormat="1" ht="12.75" x14ac:dyDescent="0.2">
      <c r="A28" s="490" t="s">
        <v>894</v>
      </c>
      <c r="B28" s="491"/>
      <c r="C28" s="491"/>
      <c r="D28" s="492"/>
      <c r="E28" s="384">
        <f>E31</f>
        <v>4000</v>
      </c>
      <c r="F28" s="384"/>
      <c r="G28" s="385"/>
    </row>
    <row r="29" spans="1:13" s="120" customFormat="1" ht="12.75" x14ac:dyDescent="0.2">
      <c r="A29" s="332" t="s">
        <v>406</v>
      </c>
      <c r="B29" s="333"/>
      <c r="C29" s="333"/>
      <c r="D29" s="334"/>
      <c r="E29" s="323"/>
      <c r="F29" s="323"/>
      <c r="G29" s="324"/>
    </row>
    <row r="30" spans="1:13" s="120" customFormat="1" ht="12.75" x14ac:dyDescent="0.2">
      <c r="A30" s="498" t="s">
        <v>862</v>
      </c>
      <c r="B30" s="499"/>
      <c r="C30" s="499"/>
      <c r="D30" s="500"/>
      <c r="E30" s="48">
        <v>4000</v>
      </c>
      <c r="F30" s="48"/>
      <c r="G30" s="386"/>
      <c r="J30" s="388" t="s">
        <v>860</v>
      </c>
    </row>
    <row r="31" spans="1:13" s="120" customFormat="1" ht="12.75" x14ac:dyDescent="0.2">
      <c r="A31" s="447">
        <v>3</v>
      </c>
      <c r="B31" s="448"/>
      <c r="C31" s="449"/>
      <c r="D31" s="19" t="s">
        <v>18</v>
      </c>
      <c r="E31" s="36">
        <f>E32</f>
        <v>4000</v>
      </c>
      <c r="F31" s="36"/>
      <c r="G31" s="37"/>
      <c r="J31" s="388" t="s">
        <v>873</v>
      </c>
      <c r="K31" s="137">
        <f>E24+E35+E42+E53+E64+E71+E76+E102+E110+E237+E244+E251+E262+E269+E276+E284+E302+E329+E336+E343+E349+E359+E367+E376+E382+E388+E397</f>
        <v>335000</v>
      </c>
      <c r="L31" s="137">
        <f>F24+F42+F53+F64+F102+F110+F148+F244+F251+F256+F262+F276+F284+F294+F302+F329+F336+F343+F349+F359+F367+F376+F382+F388+F397+F83</f>
        <v>351200</v>
      </c>
      <c r="M31" s="137">
        <f>G24+G42+G64+G102+G110+G244+G251+G256+G262+G276+G284+G302+G329+G336+G343+G349+G359+G367+G376+G382+G388+G397</f>
        <v>332500</v>
      </c>
    </row>
    <row r="32" spans="1:13" s="120" customFormat="1" ht="12.75" x14ac:dyDescent="0.2">
      <c r="A32" s="443">
        <v>32</v>
      </c>
      <c r="B32" s="444"/>
      <c r="C32" s="445"/>
      <c r="D32" s="19" t="s">
        <v>32</v>
      </c>
      <c r="E32" s="36">
        <v>4000</v>
      </c>
      <c r="F32" s="36"/>
      <c r="G32" s="37"/>
      <c r="J32" s="389" t="s">
        <v>874</v>
      </c>
      <c r="K32" s="137">
        <f>E54</f>
        <v>50</v>
      </c>
      <c r="L32" s="120">
        <v>100</v>
      </c>
      <c r="M32" s="120">
        <v>50</v>
      </c>
    </row>
    <row r="33" spans="1:13" s="120" customFormat="1" ht="12.75" x14ac:dyDescent="0.2">
      <c r="A33" s="458" t="s">
        <v>895</v>
      </c>
      <c r="B33" s="459"/>
      <c r="C33" s="459"/>
      <c r="D33" s="460"/>
      <c r="E33" s="384">
        <f>E37</f>
        <v>20000</v>
      </c>
      <c r="F33" s="384"/>
      <c r="G33" s="385"/>
      <c r="J33" s="388" t="s">
        <v>875</v>
      </c>
      <c r="K33" s="137">
        <f>E17+E55+E103+E84+E123+E132+E137+E143+E149+E158+E164+E178+E184+E191+E196+E203+E403+E415+E421+E429</f>
        <v>410460</v>
      </c>
      <c r="L33" s="137">
        <f>F17+F55+F77+F84+F103+F111+F123+F132+F137+F149+F143+F158+F164+F403+F415+F421+F429</f>
        <v>151620</v>
      </c>
      <c r="M33" s="137">
        <f>G17+G55+G77+G84+G103+G123+G132+G137+G143+G149+G158+G164+G226+G403+G415+G421+G429+G65+G111</f>
        <v>267170</v>
      </c>
    </row>
    <row r="34" spans="1:13" s="120" customFormat="1" ht="12.75" x14ac:dyDescent="0.2">
      <c r="A34" s="332" t="s">
        <v>406</v>
      </c>
      <c r="B34" s="333"/>
      <c r="C34" s="333"/>
      <c r="D34" s="334"/>
      <c r="E34" s="323"/>
      <c r="F34" s="323"/>
      <c r="G34" s="324"/>
      <c r="J34" s="388" t="s">
        <v>876</v>
      </c>
    </row>
    <row r="35" spans="1:13" s="120" customFormat="1" ht="12.75" x14ac:dyDescent="0.2">
      <c r="A35" s="450" t="s">
        <v>888</v>
      </c>
      <c r="B35" s="451"/>
      <c r="C35" s="451"/>
      <c r="D35" s="451"/>
      <c r="E35" s="48">
        <v>10000</v>
      </c>
      <c r="F35" s="48"/>
      <c r="G35" s="386"/>
      <c r="K35" s="137">
        <f>K31+K32+K33</f>
        <v>745510</v>
      </c>
      <c r="L35" s="137">
        <f t="shared" ref="L35:M35" si="9">L31+L32+L33</f>
        <v>502920</v>
      </c>
      <c r="M35" s="137">
        <f t="shared" si="9"/>
        <v>599720</v>
      </c>
    </row>
    <row r="36" spans="1:13" s="120" customFormat="1" ht="12.75" x14ac:dyDescent="0.2">
      <c r="A36" s="498" t="s">
        <v>862</v>
      </c>
      <c r="B36" s="499"/>
      <c r="C36" s="499"/>
      <c r="D36" s="500"/>
      <c r="E36" s="48">
        <v>10000</v>
      </c>
      <c r="F36" s="48"/>
      <c r="G36" s="386"/>
      <c r="J36" s="120" t="s">
        <v>877</v>
      </c>
      <c r="K36" s="394">
        <f>E317</f>
        <v>43508</v>
      </c>
      <c r="L36" s="397">
        <v>44200</v>
      </c>
      <c r="M36" s="397">
        <v>42700</v>
      </c>
    </row>
    <row r="37" spans="1:13" s="120" customFormat="1" ht="12.75" x14ac:dyDescent="0.2">
      <c r="A37" s="447">
        <v>3</v>
      </c>
      <c r="B37" s="448"/>
      <c r="C37" s="449"/>
      <c r="D37" s="19" t="s">
        <v>18</v>
      </c>
      <c r="E37" s="36">
        <f>E38</f>
        <v>20000</v>
      </c>
      <c r="F37" s="36"/>
      <c r="G37" s="37"/>
    </row>
    <row r="38" spans="1:13" s="120" customFormat="1" ht="12.75" x14ac:dyDescent="0.2">
      <c r="A38" s="443">
        <v>32</v>
      </c>
      <c r="B38" s="444"/>
      <c r="C38" s="445"/>
      <c r="D38" s="19" t="s">
        <v>32</v>
      </c>
      <c r="E38" s="36">
        <v>20000</v>
      </c>
      <c r="F38" s="36"/>
      <c r="G38" s="37"/>
      <c r="J38" s="120" t="s">
        <v>878</v>
      </c>
      <c r="K38" s="137">
        <f>E138+E150+E215</f>
        <v>12000</v>
      </c>
      <c r="L38" s="120">
        <v>11000</v>
      </c>
      <c r="M38" s="120">
        <v>12000</v>
      </c>
    </row>
    <row r="39" spans="1:13" s="120" customFormat="1" ht="12.75" x14ac:dyDescent="0.2">
      <c r="A39" s="487" t="s">
        <v>843</v>
      </c>
      <c r="B39" s="488"/>
      <c r="C39" s="488"/>
      <c r="D39" s="489"/>
      <c r="E39" s="322">
        <f>E40</f>
        <v>14100</v>
      </c>
      <c r="F39" s="322">
        <f t="shared" ref="F39:G39" si="10">F40</f>
        <v>15000</v>
      </c>
      <c r="G39" s="322">
        <f t="shared" si="10"/>
        <v>15000</v>
      </c>
      <c r="J39" s="120" t="s">
        <v>879</v>
      </c>
      <c r="K39" s="137">
        <f>E125+E165</f>
        <v>17000</v>
      </c>
      <c r="L39" s="120">
        <v>15000</v>
      </c>
      <c r="M39" s="120">
        <v>15000</v>
      </c>
    </row>
    <row r="40" spans="1:13" s="120" customFormat="1" ht="24.75" customHeight="1" x14ac:dyDescent="0.2">
      <c r="A40" s="495" t="s">
        <v>844</v>
      </c>
      <c r="B40" s="496"/>
      <c r="C40" s="496"/>
      <c r="D40" s="497"/>
      <c r="E40" s="384">
        <f>E43</f>
        <v>14100</v>
      </c>
      <c r="F40" s="384">
        <f t="shared" ref="F40:G40" si="11">F43</f>
        <v>15000</v>
      </c>
      <c r="G40" s="384">
        <f t="shared" si="11"/>
        <v>15000</v>
      </c>
      <c r="J40" s="120" t="s">
        <v>880</v>
      </c>
      <c r="K40" s="137">
        <f>E124+E172+E204</f>
        <v>115000</v>
      </c>
      <c r="L40" s="120">
        <v>60000</v>
      </c>
      <c r="M40" s="120">
        <v>35000</v>
      </c>
    </row>
    <row r="41" spans="1:13" s="120" customFormat="1" ht="15" customHeight="1" x14ac:dyDescent="0.2">
      <c r="A41" s="332" t="s">
        <v>407</v>
      </c>
      <c r="B41" s="333"/>
      <c r="C41" s="333"/>
      <c r="D41" s="334"/>
      <c r="E41" s="335"/>
      <c r="F41" s="335"/>
      <c r="G41" s="335"/>
      <c r="J41" s="120" t="s">
        <v>881</v>
      </c>
      <c r="K41" s="137">
        <f>E126</f>
        <v>2800</v>
      </c>
      <c r="L41" s="120">
        <v>2800</v>
      </c>
      <c r="M41" s="120">
        <v>2800</v>
      </c>
    </row>
    <row r="42" spans="1:13" s="120" customFormat="1" ht="12.75" x14ac:dyDescent="0.2">
      <c r="A42" s="450" t="s">
        <v>888</v>
      </c>
      <c r="B42" s="451"/>
      <c r="C42" s="451"/>
      <c r="D42" s="451"/>
      <c r="E42" s="48">
        <v>14100</v>
      </c>
      <c r="F42" s="48">
        <v>15000</v>
      </c>
      <c r="G42" s="48">
        <v>15000</v>
      </c>
      <c r="J42" s="120" t="s">
        <v>882</v>
      </c>
      <c r="K42" s="137">
        <f>E159</f>
        <v>200</v>
      </c>
      <c r="L42" s="120">
        <v>100</v>
      </c>
      <c r="M42" s="120">
        <v>100</v>
      </c>
    </row>
    <row r="43" spans="1:13" s="120" customFormat="1" ht="12.75" x14ac:dyDescent="0.2">
      <c r="A43" s="447">
        <v>3</v>
      </c>
      <c r="B43" s="448"/>
      <c r="C43" s="449"/>
      <c r="D43" s="39" t="s">
        <v>18</v>
      </c>
      <c r="E43" s="326">
        <f>E44</f>
        <v>14100</v>
      </c>
      <c r="F43" s="326">
        <f t="shared" ref="F43:G43" si="12">F44</f>
        <v>15000</v>
      </c>
      <c r="G43" s="326">
        <f t="shared" si="12"/>
        <v>15000</v>
      </c>
      <c r="J43" s="393" t="s">
        <v>883</v>
      </c>
      <c r="K43" s="137">
        <f>E152+E57</f>
        <v>413</v>
      </c>
    </row>
    <row r="44" spans="1:13" s="120" customFormat="1" ht="12.75" x14ac:dyDescent="0.2">
      <c r="A44" s="443">
        <v>32</v>
      </c>
      <c r="B44" s="444"/>
      <c r="C44" s="445"/>
      <c r="D44" s="39" t="s">
        <v>32</v>
      </c>
      <c r="E44" s="326">
        <v>14100</v>
      </c>
      <c r="F44" s="326">
        <v>15000</v>
      </c>
      <c r="G44" s="326">
        <v>15000</v>
      </c>
      <c r="K44" s="394">
        <f>SUM(K38:K43)</f>
        <v>147413</v>
      </c>
      <c r="L44" s="394">
        <f t="shared" ref="L44:M44" si="13">SUM(L38:L43)</f>
        <v>88900</v>
      </c>
      <c r="M44" s="394">
        <f t="shared" si="13"/>
        <v>64900</v>
      </c>
    </row>
    <row r="45" spans="1:13" s="120" customFormat="1" ht="12.75" x14ac:dyDescent="0.2">
      <c r="A45" s="493" t="s">
        <v>69</v>
      </c>
      <c r="B45" s="494"/>
      <c r="C45" s="494"/>
      <c r="D45" s="494"/>
      <c r="E45" s="336">
        <f>E46+E94+E114+E309+E352+E370+E391+E424</f>
        <v>2148874</v>
      </c>
      <c r="F45" s="336">
        <f>F46+F94+F114+F309+F352+F370+F391+F424</f>
        <v>2062241</v>
      </c>
      <c r="G45" s="336">
        <f>G46+G94+G114+G309+G352+G370+G391+G424</f>
        <v>2046980</v>
      </c>
      <c r="J45" s="120" t="s">
        <v>872</v>
      </c>
      <c r="K45" s="137">
        <f>E210+E238+E408</f>
        <v>431935</v>
      </c>
      <c r="L45" s="137">
        <f>F221+F408</f>
        <v>313900</v>
      </c>
      <c r="M45" s="137">
        <f>G221+G228+G295+G408</f>
        <v>516154</v>
      </c>
    </row>
    <row r="46" spans="1:13" s="120" customFormat="1" ht="12.75" x14ac:dyDescent="0.2">
      <c r="A46" s="337" t="s">
        <v>70</v>
      </c>
      <c r="B46" s="337"/>
      <c r="C46" s="337"/>
      <c r="D46" s="337"/>
      <c r="E46" s="331">
        <f>E50+E87+E80</f>
        <v>314301</v>
      </c>
      <c r="F46" s="331">
        <f>F50+F87+F80</f>
        <v>311061</v>
      </c>
      <c r="G46" s="331">
        <f>G50+G87+G80</f>
        <v>365830</v>
      </c>
      <c r="J46" s="120" t="s">
        <v>884</v>
      </c>
      <c r="K46" s="137">
        <f>E36+E90+E173+E179+E185+E197+E205+E277+E289+E303+E318+E330+E360+E56+E30</f>
        <v>875820</v>
      </c>
      <c r="L46" s="137">
        <f>F56+F66+F90+F127+F153+F166+F229+F245+F277+F296+F303+F318+F360</f>
        <v>1184681</v>
      </c>
      <c r="M46" s="137">
        <f>G56+G66+G90+G127+G229+G296+G303+G318+G360</f>
        <v>896066</v>
      </c>
    </row>
    <row r="47" spans="1:13" s="120" customFormat="1" ht="12.75" x14ac:dyDescent="0.2">
      <c r="A47" s="160" t="s">
        <v>890</v>
      </c>
      <c r="B47" s="161"/>
      <c r="C47" s="161"/>
      <c r="D47" s="398"/>
      <c r="E47" s="72">
        <f>E53+E54+E55+E64+E71+E76+E83+E84</f>
        <v>132626</v>
      </c>
      <c r="F47" s="72">
        <f>F53+F54+F55+F64+F65+F71+F76+F77+F83+F84</f>
        <v>38420</v>
      </c>
      <c r="G47" s="72">
        <f>G53+G54+G55+G64+G65+G71+G76+G77+G83+G84</f>
        <v>100440</v>
      </c>
      <c r="K47" s="137"/>
      <c r="L47" s="137"/>
      <c r="M47" s="137"/>
    </row>
    <row r="48" spans="1:13" s="120" customFormat="1" ht="12.75" x14ac:dyDescent="0.2">
      <c r="A48" s="160" t="s">
        <v>892</v>
      </c>
      <c r="B48" s="161"/>
      <c r="C48" s="161"/>
      <c r="D48" s="398"/>
      <c r="E48" s="72">
        <f>E57</f>
        <v>113</v>
      </c>
      <c r="F48" s="72">
        <f>F57</f>
        <v>0</v>
      </c>
      <c r="G48" s="72">
        <f>G57</f>
        <v>0</v>
      </c>
      <c r="K48" s="137"/>
      <c r="L48" s="137"/>
      <c r="M48" s="137"/>
    </row>
    <row r="49" spans="1:13" s="120" customFormat="1" ht="12.75" x14ac:dyDescent="0.2">
      <c r="A49" s="160" t="s">
        <v>891</v>
      </c>
      <c r="B49" s="161"/>
      <c r="C49" s="161"/>
      <c r="D49" s="398"/>
      <c r="E49" s="72">
        <f>E56+E66+E90</f>
        <v>181562</v>
      </c>
      <c r="F49" s="72">
        <f>F56+F66+F90</f>
        <v>272641</v>
      </c>
      <c r="G49" s="72">
        <f>G56+G66+G90</f>
        <v>265390</v>
      </c>
      <c r="K49" s="137"/>
      <c r="L49" s="137"/>
      <c r="M49" s="137"/>
    </row>
    <row r="50" spans="1:13" s="120" customFormat="1" ht="12.75" x14ac:dyDescent="0.2">
      <c r="A50" s="487" t="s">
        <v>405</v>
      </c>
      <c r="B50" s="488"/>
      <c r="C50" s="488"/>
      <c r="D50" s="489"/>
      <c r="E50" s="338">
        <f>E51+E62+E69+E74</f>
        <v>287400</v>
      </c>
      <c r="F50" s="338">
        <f>F51+F62+F69+F74</f>
        <v>267221</v>
      </c>
      <c r="G50" s="338">
        <f>G51+G62+G69+G74</f>
        <v>309990</v>
      </c>
      <c r="K50" s="394">
        <f>K45+K46</f>
        <v>1307755</v>
      </c>
      <c r="L50" s="394">
        <f t="shared" ref="L50:M50" si="14">L45+L46</f>
        <v>1498581</v>
      </c>
      <c r="M50" s="394">
        <f t="shared" si="14"/>
        <v>1412220</v>
      </c>
    </row>
    <row r="51" spans="1:13" s="120" customFormat="1" ht="24.75" customHeight="1" x14ac:dyDescent="0.2">
      <c r="A51" s="495" t="s">
        <v>572</v>
      </c>
      <c r="B51" s="496"/>
      <c r="C51" s="496"/>
      <c r="D51" s="496"/>
      <c r="E51" s="381">
        <f>E58</f>
        <v>252900</v>
      </c>
      <c r="F51" s="381">
        <f t="shared" ref="F51:G51" si="15">F58</f>
        <v>241321</v>
      </c>
      <c r="G51" s="381">
        <f t="shared" si="15"/>
        <v>234990</v>
      </c>
    </row>
    <row r="52" spans="1:13" s="120" customFormat="1" ht="15" customHeight="1" x14ac:dyDescent="0.2">
      <c r="A52" s="332" t="s">
        <v>407</v>
      </c>
      <c r="B52" s="339"/>
      <c r="C52" s="339"/>
      <c r="D52" s="339"/>
      <c r="E52" s="340"/>
      <c r="F52" s="340"/>
      <c r="G52" s="340"/>
      <c r="K52" s="137">
        <f>K35+K36+K44+K50</f>
        <v>2244186</v>
      </c>
      <c r="L52" s="137">
        <f t="shared" ref="L52:M52" si="16">L35+L36+L44+L50</f>
        <v>2134601</v>
      </c>
      <c r="M52" s="137">
        <f t="shared" si="16"/>
        <v>2119540</v>
      </c>
    </row>
    <row r="53" spans="1:13" s="120" customFormat="1" ht="15" customHeight="1" x14ac:dyDescent="0.2">
      <c r="A53" s="450" t="s">
        <v>888</v>
      </c>
      <c r="B53" s="451"/>
      <c r="C53" s="451"/>
      <c r="D53" s="451"/>
      <c r="E53" s="43">
        <v>4226</v>
      </c>
      <c r="F53" s="43">
        <v>800</v>
      </c>
      <c r="G53" s="43"/>
    </row>
    <row r="54" spans="1:13" s="120" customFormat="1" ht="15" customHeight="1" x14ac:dyDescent="0.2">
      <c r="A54" s="498" t="s">
        <v>887</v>
      </c>
      <c r="B54" s="499"/>
      <c r="C54" s="499"/>
      <c r="D54" s="500"/>
      <c r="E54" s="43">
        <v>50</v>
      </c>
      <c r="F54" s="43">
        <v>100</v>
      </c>
      <c r="G54" s="43">
        <v>50</v>
      </c>
    </row>
    <row r="55" spans="1:13" s="120" customFormat="1" ht="15" customHeight="1" x14ac:dyDescent="0.2">
      <c r="A55" s="450" t="s">
        <v>865</v>
      </c>
      <c r="B55" s="451"/>
      <c r="C55" s="451"/>
      <c r="D55" s="451"/>
      <c r="E55" s="43">
        <f>73963-113</f>
        <v>73850</v>
      </c>
      <c r="F55" s="43">
        <v>620</v>
      </c>
      <c r="G55" s="43">
        <v>33390</v>
      </c>
    </row>
    <row r="56" spans="1:13" s="120" customFormat="1" ht="15" customHeight="1" x14ac:dyDescent="0.2">
      <c r="A56" s="498" t="s">
        <v>862</v>
      </c>
      <c r="B56" s="499"/>
      <c r="C56" s="499"/>
      <c r="D56" s="500"/>
      <c r="E56" s="341">
        <v>174661</v>
      </c>
      <c r="F56" s="341">
        <v>239801</v>
      </c>
      <c r="G56" s="341">
        <v>201550</v>
      </c>
    </row>
    <row r="57" spans="1:13" s="120" customFormat="1" ht="15" customHeight="1" x14ac:dyDescent="0.2">
      <c r="A57" s="450" t="s">
        <v>870</v>
      </c>
      <c r="B57" s="451"/>
      <c r="C57" s="451"/>
      <c r="D57" s="452"/>
      <c r="E57" s="341">
        <f>83+30</f>
        <v>113</v>
      </c>
      <c r="F57" s="341"/>
      <c r="G57" s="341"/>
    </row>
    <row r="58" spans="1:13" s="120" customFormat="1" ht="12.75" x14ac:dyDescent="0.2">
      <c r="A58" s="447">
        <v>3</v>
      </c>
      <c r="B58" s="448"/>
      <c r="C58" s="449"/>
      <c r="D58" s="19" t="s">
        <v>18</v>
      </c>
      <c r="E58" s="326">
        <f>E59+E60+E61</f>
        <v>252900</v>
      </c>
      <c r="F58" s="326">
        <f t="shared" ref="F58:G58" si="17">F59+F60+F61</f>
        <v>241321</v>
      </c>
      <c r="G58" s="326">
        <f t="shared" si="17"/>
        <v>234990</v>
      </c>
    </row>
    <row r="59" spans="1:13" s="120" customFormat="1" ht="12.75" x14ac:dyDescent="0.2">
      <c r="A59" s="453">
        <v>31</v>
      </c>
      <c r="B59" s="454"/>
      <c r="C59" s="455"/>
      <c r="D59" s="19" t="s">
        <v>21</v>
      </c>
      <c r="E59" s="326">
        <v>139487</v>
      </c>
      <c r="F59" s="326">
        <v>143500</v>
      </c>
      <c r="G59" s="326">
        <v>142700</v>
      </c>
    </row>
    <row r="60" spans="1:13" s="120" customFormat="1" ht="12.75" x14ac:dyDescent="0.2">
      <c r="A60" s="443">
        <v>32</v>
      </c>
      <c r="B60" s="444"/>
      <c r="C60" s="445"/>
      <c r="D60" s="19" t="s">
        <v>32</v>
      </c>
      <c r="E60" s="326">
        <v>109981</v>
      </c>
      <c r="F60" s="326">
        <f>98270+15650-4000-7100-6000-1500-999</f>
        <v>94321</v>
      </c>
      <c r="G60" s="326">
        <f>97000+22590-9800-19000-2000</f>
        <v>88790</v>
      </c>
    </row>
    <row r="61" spans="1:13" s="120" customFormat="1" ht="12.75" x14ac:dyDescent="0.2">
      <c r="A61" s="443">
        <v>34</v>
      </c>
      <c r="B61" s="444"/>
      <c r="C61" s="445"/>
      <c r="D61" s="19" t="s">
        <v>118</v>
      </c>
      <c r="E61" s="326">
        <v>3432</v>
      </c>
      <c r="F61" s="326">
        <v>3500</v>
      </c>
      <c r="G61" s="326">
        <v>3500</v>
      </c>
    </row>
    <row r="62" spans="1:13" s="120" customFormat="1" ht="12.75" x14ac:dyDescent="0.2">
      <c r="A62" s="470" t="s">
        <v>573</v>
      </c>
      <c r="B62" s="471"/>
      <c r="C62" s="471"/>
      <c r="D62" s="472"/>
      <c r="E62" s="381">
        <f>E67</f>
        <v>15000</v>
      </c>
      <c r="F62" s="381">
        <f t="shared" ref="F62:G62" si="18">F67</f>
        <v>23900</v>
      </c>
      <c r="G62" s="381">
        <f t="shared" si="18"/>
        <v>58000</v>
      </c>
    </row>
    <row r="63" spans="1:13" s="120" customFormat="1" ht="15" customHeight="1" x14ac:dyDescent="0.2">
      <c r="A63" s="332" t="s">
        <v>407</v>
      </c>
      <c r="B63" s="339"/>
      <c r="C63" s="339"/>
      <c r="D63" s="339"/>
      <c r="E63" s="340"/>
      <c r="F63" s="340"/>
      <c r="G63" s="340"/>
    </row>
    <row r="64" spans="1:13" s="120" customFormat="1" ht="12.75" x14ac:dyDescent="0.2">
      <c r="A64" s="450" t="s">
        <v>888</v>
      </c>
      <c r="B64" s="451"/>
      <c r="C64" s="451"/>
      <c r="D64" s="451"/>
      <c r="E64" s="341">
        <v>15000</v>
      </c>
      <c r="F64" s="341">
        <v>4900</v>
      </c>
      <c r="G64" s="341">
        <v>3740</v>
      </c>
    </row>
    <row r="65" spans="1:7" s="120" customFormat="1" ht="12.75" x14ac:dyDescent="0.2">
      <c r="A65" s="450" t="s">
        <v>865</v>
      </c>
      <c r="B65" s="451"/>
      <c r="C65" s="451"/>
      <c r="D65" s="451"/>
      <c r="E65" s="341"/>
      <c r="F65" s="341"/>
      <c r="G65" s="341">
        <v>4260</v>
      </c>
    </row>
    <row r="66" spans="1:7" s="120" customFormat="1" ht="12.75" x14ac:dyDescent="0.2">
      <c r="A66" s="498" t="s">
        <v>862</v>
      </c>
      <c r="B66" s="499"/>
      <c r="C66" s="499"/>
      <c r="D66" s="500"/>
      <c r="E66" s="341"/>
      <c r="F66" s="341">
        <v>19000</v>
      </c>
      <c r="G66" s="341">
        <v>50000</v>
      </c>
    </row>
    <row r="67" spans="1:7" s="120" customFormat="1" ht="25.5" x14ac:dyDescent="0.2">
      <c r="A67" s="447">
        <v>4</v>
      </c>
      <c r="B67" s="448"/>
      <c r="C67" s="449"/>
      <c r="D67" s="19" t="s">
        <v>5</v>
      </c>
      <c r="E67" s="326">
        <f>E68</f>
        <v>15000</v>
      </c>
      <c r="F67" s="326">
        <f t="shared" ref="F67:G67" si="19">F68</f>
        <v>23900</v>
      </c>
      <c r="G67" s="326">
        <f t="shared" si="19"/>
        <v>58000</v>
      </c>
    </row>
    <row r="68" spans="1:7" s="120" customFormat="1" ht="25.5" x14ac:dyDescent="0.2">
      <c r="A68" s="453">
        <v>42</v>
      </c>
      <c r="B68" s="454"/>
      <c r="C68" s="455"/>
      <c r="D68" s="19" t="s">
        <v>108</v>
      </c>
      <c r="E68" s="326">
        <v>15000</v>
      </c>
      <c r="F68" s="326">
        <v>23900</v>
      </c>
      <c r="G68" s="326">
        <v>58000</v>
      </c>
    </row>
    <row r="69" spans="1:7" s="120" customFormat="1" ht="24.75" customHeight="1" x14ac:dyDescent="0.2">
      <c r="A69" s="458" t="s">
        <v>616</v>
      </c>
      <c r="B69" s="459"/>
      <c r="C69" s="459"/>
      <c r="D69" s="460"/>
      <c r="E69" s="381">
        <f>E72</f>
        <v>14000</v>
      </c>
      <c r="F69" s="381"/>
      <c r="G69" s="381"/>
    </row>
    <row r="70" spans="1:7" s="120" customFormat="1" ht="15" customHeight="1" x14ac:dyDescent="0.2">
      <c r="A70" s="332" t="s">
        <v>407</v>
      </c>
      <c r="B70" s="339"/>
      <c r="C70" s="339"/>
      <c r="D70" s="339"/>
      <c r="E70" s="340"/>
      <c r="F70" s="340"/>
      <c r="G70" s="340"/>
    </row>
    <row r="71" spans="1:7" s="120" customFormat="1" ht="12.75" x14ac:dyDescent="0.2">
      <c r="A71" s="450" t="s">
        <v>888</v>
      </c>
      <c r="B71" s="451"/>
      <c r="C71" s="451"/>
      <c r="D71" s="451"/>
      <c r="E71" s="341">
        <v>14000</v>
      </c>
      <c r="F71" s="341"/>
      <c r="G71" s="341"/>
    </row>
    <row r="72" spans="1:7" s="120" customFormat="1" ht="12.75" x14ac:dyDescent="0.2">
      <c r="A72" s="447">
        <v>3</v>
      </c>
      <c r="B72" s="448"/>
      <c r="C72" s="449"/>
      <c r="D72" s="19" t="s">
        <v>18</v>
      </c>
      <c r="E72" s="326">
        <f>E73</f>
        <v>14000</v>
      </c>
      <c r="F72" s="326"/>
      <c r="G72" s="326"/>
    </row>
    <row r="73" spans="1:7" s="120" customFormat="1" ht="12.75" x14ac:dyDescent="0.2">
      <c r="A73" s="443">
        <v>32</v>
      </c>
      <c r="B73" s="444"/>
      <c r="C73" s="445"/>
      <c r="D73" s="39" t="s">
        <v>32</v>
      </c>
      <c r="E73" s="326">
        <v>14000</v>
      </c>
      <c r="F73" s="326"/>
      <c r="G73" s="326"/>
    </row>
    <row r="74" spans="1:7" s="120" customFormat="1" ht="12.75" x14ac:dyDescent="0.2">
      <c r="A74" s="490" t="s">
        <v>574</v>
      </c>
      <c r="B74" s="491"/>
      <c r="C74" s="491"/>
      <c r="D74" s="492"/>
      <c r="E74" s="375">
        <f>E78</f>
        <v>5500</v>
      </c>
      <c r="F74" s="375">
        <f t="shared" ref="F74:G74" si="20">F78</f>
        <v>2000</v>
      </c>
      <c r="G74" s="375">
        <f t="shared" si="20"/>
        <v>17000</v>
      </c>
    </row>
    <row r="75" spans="1:7" s="120" customFormat="1" ht="12.75" x14ac:dyDescent="0.2">
      <c r="A75" s="332" t="s">
        <v>407</v>
      </c>
      <c r="B75" s="339"/>
      <c r="C75" s="339"/>
      <c r="D75" s="339"/>
      <c r="E75" s="342"/>
      <c r="F75" s="342"/>
      <c r="G75" s="342"/>
    </row>
    <row r="76" spans="1:7" s="120" customFormat="1" ht="12.75" x14ac:dyDescent="0.2">
      <c r="A76" s="450" t="s">
        <v>888</v>
      </c>
      <c r="B76" s="451"/>
      <c r="C76" s="451"/>
      <c r="D76" s="451"/>
      <c r="E76" s="341">
        <v>5500</v>
      </c>
      <c r="F76" s="341"/>
      <c r="G76" s="341"/>
    </row>
    <row r="77" spans="1:7" s="120" customFormat="1" ht="12.75" x14ac:dyDescent="0.2">
      <c r="A77" s="450" t="s">
        <v>865</v>
      </c>
      <c r="B77" s="451"/>
      <c r="C77" s="451"/>
      <c r="D77" s="451"/>
      <c r="E77" s="341"/>
      <c r="F77" s="341">
        <v>2000</v>
      </c>
      <c r="G77" s="341">
        <v>17000</v>
      </c>
    </row>
    <row r="78" spans="1:7" s="120" customFormat="1" ht="25.5" x14ac:dyDescent="0.2">
      <c r="A78" s="447">
        <v>4</v>
      </c>
      <c r="B78" s="448"/>
      <c r="C78" s="449"/>
      <c r="D78" s="19" t="s">
        <v>5</v>
      </c>
      <c r="E78" s="326">
        <f>E79</f>
        <v>5500</v>
      </c>
      <c r="F78" s="326">
        <f t="shared" ref="F78:G78" si="21">F79</f>
        <v>2000</v>
      </c>
      <c r="G78" s="326">
        <f t="shared" si="21"/>
        <v>17000</v>
      </c>
    </row>
    <row r="79" spans="1:7" s="120" customFormat="1" ht="25.5" x14ac:dyDescent="0.2">
      <c r="A79" s="453">
        <v>42</v>
      </c>
      <c r="B79" s="454"/>
      <c r="C79" s="455"/>
      <c r="D79" s="19" t="s">
        <v>108</v>
      </c>
      <c r="E79" s="326">
        <v>5500</v>
      </c>
      <c r="F79" s="326">
        <v>2000</v>
      </c>
      <c r="G79" s="326">
        <v>17000</v>
      </c>
    </row>
    <row r="80" spans="1:7" s="120" customFormat="1" ht="12.75" x14ac:dyDescent="0.2">
      <c r="A80" s="487" t="s">
        <v>408</v>
      </c>
      <c r="B80" s="488"/>
      <c r="C80" s="488"/>
      <c r="D80" s="489"/>
      <c r="E80" s="343">
        <f>E81</f>
        <v>20000</v>
      </c>
      <c r="F80" s="343">
        <f t="shared" ref="F80:G80" si="22">F81</f>
        <v>30000</v>
      </c>
      <c r="G80" s="343">
        <f t="shared" si="22"/>
        <v>42000</v>
      </c>
    </row>
    <row r="81" spans="1:7" s="120" customFormat="1" ht="12.75" x14ac:dyDescent="0.2">
      <c r="A81" s="490" t="s">
        <v>575</v>
      </c>
      <c r="B81" s="491"/>
      <c r="C81" s="491"/>
      <c r="D81" s="492"/>
      <c r="E81" s="372">
        <f>E85</f>
        <v>20000</v>
      </c>
      <c r="F81" s="372">
        <f t="shared" ref="F81:G81" si="23">F85</f>
        <v>30000</v>
      </c>
      <c r="G81" s="372">
        <f t="shared" si="23"/>
        <v>42000</v>
      </c>
    </row>
    <row r="82" spans="1:7" s="120" customFormat="1" ht="15" customHeight="1" x14ac:dyDescent="0.2">
      <c r="A82" s="332" t="s">
        <v>430</v>
      </c>
      <c r="B82" s="339"/>
      <c r="C82" s="339"/>
      <c r="D82" s="339"/>
      <c r="E82" s="340"/>
      <c r="F82" s="340"/>
      <c r="G82" s="340"/>
    </row>
    <row r="83" spans="1:7" s="120" customFormat="1" ht="15" customHeight="1" x14ac:dyDescent="0.2">
      <c r="A83" s="450" t="s">
        <v>888</v>
      </c>
      <c r="B83" s="451"/>
      <c r="C83" s="451"/>
      <c r="D83" s="451"/>
      <c r="E83" s="43"/>
      <c r="F83" s="43">
        <v>14800</v>
      </c>
      <c r="G83" s="43"/>
    </row>
    <row r="84" spans="1:7" s="120" customFormat="1" ht="12.75" x14ac:dyDescent="0.2">
      <c r="A84" s="450" t="s">
        <v>865</v>
      </c>
      <c r="B84" s="451"/>
      <c r="C84" s="451"/>
      <c r="D84" s="451"/>
      <c r="E84" s="341">
        <v>20000</v>
      </c>
      <c r="F84" s="341">
        <v>15200</v>
      </c>
      <c r="G84" s="341">
        <v>42000</v>
      </c>
    </row>
    <row r="85" spans="1:7" s="120" customFormat="1" ht="12.75" x14ac:dyDescent="0.2">
      <c r="A85" s="447">
        <v>3</v>
      </c>
      <c r="B85" s="448"/>
      <c r="C85" s="449"/>
      <c r="D85" s="19" t="s">
        <v>18</v>
      </c>
      <c r="E85" s="326">
        <f>E86</f>
        <v>20000</v>
      </c>
      <c r="F85" s="326">
        <f t="shared" ref="F85:G85" si="24">F86</f>
        <v>30000</v>
      </c>
      <c r="G85" s="326">
        <f t="shared" si="24"/>
        <v>42000</v>
      </c>
    </row>
    <row r="86" spans="1:7" s="120" customFormat="1" ht="25.5" x14ac:dyDescent="0.2">
      <c r="A86" s="443">
        <v>36</v>
      </c>
      <c r="B86" s="444"/>
      <c r="C86" s="445"/>
      <c r="D86" s="39" t="s">
        <v>48</v>
      </c>
      <c r="E86" s="326">
        <v>20000</v>
      </c>
      <c r="F86" s="326">
        <v>30000</v>
      </c>
      <c r="G86" s="326">
        <v>42000</v>
      </c>
    </row>
    <row r="87" spans="1:7" s="120" customFormat="1" ht="12.75" x14ac:dyDescent="0.2">
      <c r="A87" s="487" t="s">
        <v>409</v>
      </c>
      <c r="B87" s="488"/>
      <c r="C87" s="488"/>
      <c r="D87" s="489"/>
      <c r="E87" s="344">
        <f t="shared" ref="E87:G87" si="25">E88</f>
        <v>6901</v>
      </c>
      <c r="F87" s="344">
        <f t="shared" si="25"/>
        <v>13840</v>
      </c>
      <c r="G87" s="344">
        <f t="shared" si="25"/>
        <v>13840</v>
      </c>
    </row>
    <row r="88" spans="1:7" s="120" customFormat="1" ht="25.5" customHeight="1" x14ac:dyDescent="0.2">
      <c r="A88" s="458" t="s">
        <v>576</v>
      </c>
      <c r="B88" s="459"/>
      <c r="C88" s="459"/>
      <c r="D88" s="460"/>
      <c r="E88" s="370">
        <f>E91</f>
        <v>6901</v>
      </c>
      <c r="F88" s="370">
        <f t="shared" ref="F88:G88" si="26">F91</f>
        <v>13840</v>
      </c>
      <c r="G88" s="370">
        <f t="shared" si="26"/>
        <v>13840</v>
      </c>
    </row>
    <row r="89" spans="1:7" s="120" customFormat="1" ht="15" customHeight="1" x14ac:dyDescent="0.2">
      <c r="A89" s="332" t="s">
        <v>619</v>
      </c>
      <c r="B89" s="339"/>
      <c r="C89" s="339"/>
      <c r="D89" s="339"/>
      <c r="E89" s="340"/>
      <c r="F89" s="340"/>
      <c r="G89" s="340"/>
    </row>
    <row r="90" spans="1:7" s="120" customFormat="1" ht="12.75" x14ac:dyDescent="0.2">
      <c r="A90" s="498" t="s">
        <v>862</v>
      </c>
      <c r="B90" s="499"/>
      <c r="C90" s="499"/>
      <c r="D90" s="500"/>
      <c r="E90" s="341">
        <v>6901</v>
      </c>
      <c r="F90" s="341">
        <v>13840</v>
      </c>
      <c r="G90" s="341">
        <v>13840</v>
      </c>
    </row>
    <row r="91" spans="1:7" s="120" customFormat="1" ht="12.75" x14ac:dyDescent="0.2">
      <c r="A91" s="447">
        <v>3</v>
      </c>
      <c r="B91" s="448"/>
      <c r="C91" s="449"/>
      <c r="D91" s="19" t="s">
        <v>18</v>
      </c>
      <c r="E91" s="326">
        <f>E92+E93</f>
        <v>6901</v>
      </c>
      <c r="F91" s="326">
        <f t="shared" ref="F91:G91" si="27">F92+F93</f>
        <v>13840</v>
      </c>
      <c r="G91" s="326">
        <f t="shared" si="27"/>
        <v>13840</v>
      </c>
    </row>
    <row r="92" spans="1:7" s="120" customFormat="1" ht="12.75" x14ac:dyDescent="0.2">
      <c r="A92" s="453">
        <v>31</v>
      </c>
      <c r="B92" s="454"/>
      <c r="C92" s="455"/>
      <c r="D92" s="19" t="s">
        <v>21</v>
      </c>
      <c r="E92" s="326">
        <v>6781</v>
      </c>
      <c r="F92" s="326">
        <v>13600</v>
      </c>
      <c r="G92" s="326">
        <v>13600</v>
      </c>
    </row>
    <row r="93" spans="1:7" s="120" customFormat="1" ht="12.75" x14ac:dyDescent="0.2">
      <c r="A93" s="443">
        <v>32</v>
      </c>
      <c r="B93" s="444"/>
      <c r="C93" s="445"/>
      <c r="D93" s="39" t="s">
        <v>32</v>
      </c>
      <c r="E93" s="326">
        <v>120</v>
      </c>
      <c r="F93" s="326">
        <v>240</v>
      </c>
      <c r="G93" s="326">
        <v>240</v>
      </c>
    </row>
    <row r="94" spans="1:7" s="120" customFormat="1" ht="12.75" x14ac:dyDescent="0.2">
      <c r="A94" s="337" t="s">
        <v>75</v>
      </c>
      <c r="B94" s="337"/>
      <c r="C94" s="337"/>
      <c r="D94" s="337"/>
      <c r="E94" s="331">
        <f>E98+E107</f>
        <v>24192</v>
      </c>
      <c r="F94" s="331">
        <f t="shared" ref="F94:G94" si="28">F98+F107</f>
        <v>23200</v>
      </c>
      <c r="G94" s="331">
        <f t="shared" si="28"/>
        <v>23200</v>
      </c>
    </row>
    <row r="95" spans="1:7" s="120" customFormat="1" ht="12.75" x14ac:dyDescent="0.2">
      <c r="A95" s="160" t="s">
        <v>890</v>
      </c>
      <c r="B95" s="161"/>
      <c r="C95" s="161"/>
      <c r="D95" s="398"/>
      <c r="E95" s="72">
        <f>E102+E103+E110+E111</f>
        <v>24192</v>
      </c>
      <c r="F95" s="72">
        <f>F102+F103+F110+F111</f>
        <v>23200</v>
      </c>
      <c r="G95" s="72">
        <f>G102+G103+G110+G111</f>
        <v>23200</v>
      </c>
    </row>
    <row r="96" spans="1:7" s="120" customFormat="1" ht="12.75" x14ac:dyDescent="0.2">
      <c r="A96" s="160" t="s">
        <v>892</v>
      </c>
      <c r="B96" s="161"/>
      <c r="C96" s="161"/>
      <c r="D96" s="398"/>
      <c r="E96" s="79"/>
      <c r="F96" s="79"/>
      <c r="G96" s="79"/>
    </row>
    <row r="97" spans="1:7" s="120" customFormat="1" ht="12.75" x14ac:dyDescent="0.2">
      <c r="A97" s="160" t="s">
        <v>891</v>
      </c>
      <c r="B97" s="161"/>
      <c r="C97" s="161"/>
      <c r="D97" s="398"/>
      <c r="E97" s="79"/>
      <c r="F97" s="79"/>
      <c r="G97" s="79"/>
    </row>
    <row r="98" spans="1:7" s="120" customFormat="1" ht="12.75" x14ac:dyDescent="0.2">
      <c r="A98" s="345" t="s">
        <v>410</v>
      </c>
      <c r="B98" s="345"/>
      <c r="C98" s="345"/>
      <c r="D98" s="345"/>
      <c r="E98" s="344">
        <f t="shared" ref="E98:G98" si="29">E99</f>
        <v>19192</v>
      </c>
      <c r="F98" s="344">
        <f t="shared" si="29"/>
        <v>18200</v>
      </c>
      <c r="G98" s="344">
        <f t="shared" si="29"/>
        <v>18200</v>
      </c>
    </row>
    <row r="99" spans="1:7" s="120" customFormat="1" ht="12.75" x14ac:dyDescent="0.2">
      <c r="A99" s="456" t="s">
        <v>577</v>
      </c>
      <c r="B99" s="457"/>
      <c r="C99" s="457"/>
      <c r="D99" s="486"/>
      <c r="E99" s="480">
        <f>E104</f>
        <v>19192</v>
      </c>
      <c r="F99" s="480">
        <f t="shared" ref="F99:G99" si="30">F104</f>
        <v>18200</v>
      </c>
      <c r="G99" s="480">
        <f t="shared" si="30"/>
        <v>18200</v>
      </c>
    </row>
    <row r="100" spans="1:7" s="120" customFormat="1" ht="12.75" x14ac:dyDescent="0.2">
      <c r="A100" s="376" t="s">
        <v>77</v>
      </c>
      <c r="B100" s="383"/>
      <c r="C100" s="383"/>
      <c r="D100" s="383"/>
      <c r="E100" s="481"/>
      <c r="F100" s="481"/>
      <c r="G100" s="481"/>
    </row>
    <row r="101" spans="1:7" s="120" customFormat="1" ht="15" customHeight="1" x14ac:dyDescent="0.2">
      <c r="A101" s="332" t="s">
        <v>433</v>
      </c>
      <c r="B101" s="339"/>
      <c r="C101" s="339"/>
      <c r="D101" s="339"/>
      <c r="E101" s="340"/>
      <c r="F101" s="340"/>
      <c r="G101" s="340"/>
    </row>
    <row r="102" spans="1:7" s="120" customFormat="1" ht="15" customHeight="1" x14ac:dyDescent="0.2">
      <c r="A102" s="450" t="s">
        <v>888</v>
      </c>
      <c r="B102" s="451"/>
      <c r="C102" s="451"/>
      <c r="D102" s="451"/>
      <c r="E102" s="43">
        <v>2334</v>
      </c>
      <c r="F102" s="43">
        <v>3200</v>
      </c>
      <c r="G102" s="43">
        <v>3200</v>
      </c>
    </row>
    <row r="103" spans="1:7" s="120" customFormat="1" ht="12.75" x14ac:dyDescent="0.2">
      <c r="A103" s="450" t="s">
        <v>865</v>
      </c>
      <c r="B103" s="451"/>
      <c r="C103" s="451"/>
      <c r="D103" s="451"/>
      <c r="E103" s="341">
        <f>16745+113</f>
        <v>16858</v>
      </c>
      <c r="F103" s="341">
        <v>15000</v>
      </c>
      <c r="G103" s="341">
        <v>15000</v>
      </c>
    </row>
    <row r="104" spans="1:7" s="120" customFormat="1" ht="12.75" x14ac:dyDescent="0.2">
      <c r="A104" s="447">
        <v>3</v>
      </c>
      <c r="B104" s="448"/>
      <c r="C104" s="449"/>
      <c r="D104" s="19" t="s">
        <v>18</v>
      </c>
      <c r="E104" s="326">
        <f>E105+E106</f>
        <v>19192</v>
      </c>
      <c r="F104" s="326">
        <f t="shared" ref="F104:G104" si="31">F105+F106</f>
        <v>18200</v>
      </c>
      <c r="G104" s="326">
        <f t="shared" si="31"/>
        <v>18200</v>
      </c>
    </row>
    <row r="105" spans="1:7" s="120" customFormat="1" ht="12.75" x14ac:dyDescent="0.2">
      <c r="A105" s="453">
        <v>35</v>
      </c>
      <c r="B105" s="454"/>
      <c r="C105" s="455"/>
      <c r="D105" s="19" t="s">
        <v>47</v>
      </c>
      <c r="E105" s="326">
        <v>16000</v>
      </c>
      <c r="F105" s="326">
        <v>15000</v>
      </c>
      <c r="G105" s="326">
        <v>15000</v>
      </c>
    </row>
    <row r="106" spans="1:7" s="120" customFormat="1" ht="25.5" x14ac:dyDescent="0.2">
      <c r="A106" s="443">
        <v>36</v>
      </c>
      <c r="B106" s="444"/>
      <c r="C106" s="445"/>
      <c r="D106" s="39" t="s">
        <v>48</v>
      </c>
      <c r="E106" s="326">
        <v>3192</v>
      </c>
      <c r="F106" s="326">
        <v>3200</v>
      </c>
      <c r="G106" s="326">
        <v>3200</v>
      </c>
    </row>
    <row r="107" spans="1:7" s="120" customFormat="1" ht="12.75" x14ac:dyDescent="0.2">
      <c r="A107" s="501" t="s">
        <v>411</v>
      </c>
      <c r="B107" s="502"/>
      <c r="C107" s="502"/>
      <c r="D107" s="502"/>
      <c r="E107" s="52">
        <f t="shared" ref="E107:G107" si="32">E108</f>
        <v>5000</v>
      </c>
      <c r="F107" s="52">
        <f t="shared" si="32"/>
        <v>5000</v>
      </c>
      <c r="G107" s="52">
        <f t="shared" si="32"/>
        <v>5000</v>
      </c>
    </row>
    <row r="108" spans="1:7" s="120" customFormat="1" ht="12.75" x14ac:dyDescent="0.2">
      <c r="A108" s="470" t="s">
        <v>578</v>
      </c>
      <c r="B108" s="471"/>
      <c r="C108" s="471"/>
      <c r="D108" s="471"/>
      <c r="E108" s="372">
        <f>E112</f>
        <v>5000</v>
      </c>
      <c r="F108" s="372">
        <f t="shared" ref="F108:G108" si="33">F112</f>
        <v>5000</v>
      </c>
      <c r="G108" s="372">
        <f t="shared" si="33"/>
        <v>5000</v>
      </c>
    </row>
    <row r="109" spans="1:7" s="120" customFormat="1" ht="15" customHeight="1" x14ac:dyDescent="0.2">
      <c r="A109" s="332" t="s">
        <v>434</v>
      </c>
      <c r="B109" s="339"/>
      <c r="C109" s="339"/>
      <c r="D109" s="339"/>
      <c r="E109" s="340"/>
      <c r="F109" s="340"/>
      <c r="G109" s="340"/>
    </row>
    <row r="110" spans="1:7" s="120" customFormat="1" ht="12.75" x14ac:dyDescent="0.2">
      <c r="A110" s="450" t="s">
        <v>888</v>
      </c>
      <c r="B110" s="451"/>
      <c r="C110" s="451"/>
      <c r="D110" s="451"/>
      <c r="E110" s="341">
        <v>5000</v>
      </c>
      <c r="F110" s="341">
        <v>1000</v>
      </c>
      <c r="G110" s="341"/>
    </row>
    <row r="111" spans="1:7" s="120" customFormat="1" ht="12.75" x14ac:dyDescent="0.2">
      <c r="A111" s="450" t="s">
        <v>865</v>
      </c>
      <c r="B111" s="451"/>
      <c r="C111" s="451"/>
      <c r="D111" s="451"/>
      <c r="E111" s="341"/>
      <c r="F111" s="341">
        <v>4000</v>
      </c>
      <c r="G111" s="341">
        <v>5000</v>
      </c>
    </row>
    <row r="112" spans="1:7" s="120" customFormat="1" ht="12.75" x14ac:dyDescent="0.2">
      <c r="A112" s="447">
        <v>3</v>
      </c>
      <c r="B112" s="448"/>
      <c r="C112" s="449"/>
      <c r="D112" s="19" t="s">
        <v>18</v>
      </c>
      <c r="E112" s="326">
        <f>E113</f>
        <v>5000</v>
      </c>
      <c r="F112" s="326">
        <f t="shared" ref="F112:G112" si="34">F113</f>
        <v>5000</v>
      </c>
      <c r="G112" s="326">
        <f t="shared" si="34"/>
        <v>5000</v>
      </c>
    </row>
    <row r="113" spans="1:7" s="120" customFormat="1" ht="12.75" x14ac:dyDescent="0.2">
      <c r="A113" s="453">
        <v>35</v>
      </c>
      <c r="B113" s="454"/>
      <c r="C113" s="455"/>
      <c r="D113" s="19" t="s">
        <v>47</v>
      </c>
      <c r="E113" s="326">
        <v>5000</v>
      </c>
      <c r="F113" s="326">
        <v>5000</v>
      </c>
      <c r="G113" s="326">
        <v>5000</v>
      </c>
    </row>
    <row r="114" spans="1:7" s="120" customFormat="1" ht="12.75" x14ac:dyDescent="0.2">
      <c r="A114" s="53" t="s">
        <v>79</v>
      </c>
      <c r="B114" s="53"/>
      <c r="C114" s="53"/>
      <c r="D114" s="53"/>
      <c r="E114" s="482">
        <f>E119+E169+E232+E241+E259+E266+E299</f>
        <v>1146940</v>
      </c>
      <c r="F114" s="482">
        <f>F119+F169+F232+F241+F259+F266+F299</f>
        <v>1067000</v>
      </c>
      <c r="G114" s="482">
        <f>G119+G169+G232+G241+G259+G266+G299</f>
        <v>1073200</v>
      </c>
    </row>
    <row r="115" spans="1:7" s="120" customFormat="1" ht="12.75" x14ac:dyDescent="0.2">
      <c r="A115" s="503" t="s">
        <v>80</v>
      </c>
      <c r="B115" s="504"/>
      <c r="C115" s="504"/>
      <c r="D115" s="505"/>
      <c r="E115" s="483"/>
      <c r="F115" s="483"/>
      <c r="G115" s="483"/>
    </row>
    <row r="116" spans="1:7" s="120" customFormat="1" ht="12.75" x14ac:dyDescent="0.2">
      <c r="A116" s="160" t="s">
        <v>890</v>
      </c>
      <c r="B116" s="161"/>
      <c r="C116" s="161"/>
      <c r="D116" s="398"/>
      <c r="E116" s="399">
        <f>E123+E132+E137+E143+E148+E149+E158+E164+E178+E184+E191+E196+E203+E226+E237+E244+E251+E256+E262+E269+E276+E284+E294+E302</f>
        <v>311890</v>
      </c>
      <c r="F116" s="399">
        <f>F123+F132+F137+F143+F148+F149+F158+F164+F178+F184+F191+F196+F203+F226+F237+F244+F251+F256+F262+F269+F276+F284+F294+F302</f>
        <v>172240</v>
      </c>
      <c r="G116" s="399">
        <f>G123+G132+G137+G143+G148+G149+G158+G164+G178+G184+G191+G196+G203+G226+G237+G244+G251+G256+G262+G269+G276+G284+G294+G302</f>
        <v>204820</v>
      </c>
    </row>
    <row r="117" spans="1:7" s="120" customFormat="1" ht="12.75" x14ac:dyDescent="0.2">
      <c r="A117" s="160" t="s">
        <v>892</v>
      </c>
      <c r="B117" s="161"/>
      <c r="C117" s="161"/>
      <c r="D117" s="398"/>
      <c r="E117" s="399">
        <f>E124+E125+E126+E138+E150+E151+E152+E159+E165+E172+E204+E215+E220+E227</f>
        <v>147300</v>
      </c>
      <c r="F117" s="399">
        <f>F124+F125+F126+F138+F150+F151+F152+F159+F165+F172+F204+F215+F220+F227</f>
        <v>88900</v>
      </c>
      <c r="G117" s="399">
        <f>G124+G125+G126+G138+G150+G151+G152+G159+G165+G172+G204+G215+G220+G227</f>
        <v>64900</v>
      </c>
    </row>
    <row r="118" spans="1:7" s="120" customFormat="1" ht="12.75" x14ac:dyDescent="0.2">
      <c r="A118" s="160" t="s">
        <v>891</v>
      </c>
      <c r="B118" s="161"/>
      <c r="C118" s="161"/>
      <c r="D118" s="398"/>
      <c r="E118" s="399">
        <f>E153+E127+E166+E173+E179+E185+E197+E205+E210+E221+E228+E229+E238+E245+E277+E289+E295+E296+E303</f>
        <v>687750</v>
      </c>
      <c r="F118" s="399">
        <f>F127+F153+F166+F173+F179+F185+F197+F205+F210+F221+F228+F229+F238+F245+F277+F289+F295+F296+F303</f>
        <v>805860</v>
      </c>
      <c r="G118" s="399">
        <f>G127+G153+G166+G173+G179+G185+G197+G205+G210+G221+G228+G229+G238+G245+G277+G289+G295+G296+G303</f>
        <v>803480</v>
      </c>
    </row>
    <row r="119" spans="1:7" s="120" customFormat="1" ht="12.75" x14ac:dyDescent="0.2">
      <c r="A119" s="487" t="s">
        <v>579</v>
      </c>
      <c r="B119" s="488"/>
      <c r="C119" s="488"/>
      <c r="D119" s="489"/>
      <c r="E119" s="338">
        <f>E120+E130+E135+E141+E146+E156+E162</f>
        <v>123700</v>
      </c>
      <c r="F119" s="338">
        <f>F120+F130+F135+F141+F146+F156+F162</f>
        <v>256400</v>
      </c>
      <c r="G119" s="338">
        <f>G120+G130+G135+G141+G146+G156+G162</f>
        <v>258200</v>
      </c>
    </row>
    <row r="120" spans="1:7" s="120" customFormat="1" ht="12.75" x14ac:dyDescent="0.2">
      <c r="A120" s="456" t="s">
        <v>580</v>
      </c>
      <c r="B120" s="457"/>
      <c r="C120" s="457"/>
      <c r="D120" s="457"/>
      <c r="E120" s="484">
        <f t="shared" ref="E120:G120" si="35">E128</f>
        <v>74000</v>
      </c>
      <c r="F120" s="484">
        <f t="shared" si="35"/>
        <v>187000</v>
      </c>
      <c r="G120" s="484">
        <f t="shared" si="35"/>
        <v>194000</v>
      </c>
    </row>
    <row r="121" spans="1:7" s="120" customFormat="1" ht="12.75" x14ac:dyDescent="0.2">
      <c r="A121" s="478" t="s">
        <v>581</v>
      </c>
      <c r="B121" s="479"/>
      <c r="C121" s="479"/>
      <c r="D121" s="479"/>
      <c r="E121" s="485"/>
      <c r="F121" s="485"/>
      <c r="G121" s="485"/>
    </row>
    <row r="122" spans="1:7" s="120" customFormat="1" ht="15" customHeight="1" x14ac:dyDescent="0.2">
      <c r="A122" s="332" t="s">
        <v>431</v>
      </c>
      <c r="B122" s="339"/>
      <c r="C122" s="339"/>
      <c r="D122" s="339"/>
      <c r="E122" s="340"/>
      <c r="F122" s="340"/>
      <c r="G122" s="340"/>
    </row>
    <row r="123" spans="1:7" s="120" customFormat="1" ht="12.75" x14ac:dyDescent="0.2">
      <c r="A123" s="450" t="s">
        <v>865</v>
      </c>
      <c r="B123" s="451"/>
      <c r="C123" s="451"/>
      <c r="D123" s="451"/>
      <c r="E123" s="341">
        <f>15000+3000+7200+3000+3000</f>
        <v>31200</v>
      </c>
      <c r="F123" s="341">
        <v>7000</v>
      </c>
      <c r="G123" s="341">
        <v>16200</v>
      </c>
    </row>
    <row r="124" spans="1:7" s="120" customFormat="1" ht="12.75" x14ac:dyDescent="0.2">
      <c r="A124" s="450" t="s">
        <v>863</v>
      </c>
      <c r="B124" s="451"/>
      <c r="C124" s="451"/>
      <c r="D124" s="451"/>
      <c r="E124" s="341">
        <v>30000</v>
      </c>
      <c r="F124" s="341">
        <v>25000</v>
      </c>
      <c r="G124" s="341"/>
    </row>
    <row r="125" spans="1:7" s="120" customFormat="1" ht="12.75" x14ac:dyDescent="0.2">
      <c r="A125" s="450" t="s">
        <v>868</v>
      </c>
      <c r="B125" s="451"/>
      <c r="C125" s="451"/>
      <c r="D125" s="451"/>
      <c r="E125" s="341">
        <v>10000</v>
      </c>
      <c r="F125" s="341">
        <v>15000</v>
      </c>
      <c r="G125" s="341">
        <v>15000</v>
      </c>
    </row>
    <row r="126" spans="1:7" s="120" customFormat="1" ht="12.75" x14ac:dyDescent="0.2">
      <c r="A126" s="450" t="s">
        <v>869</v>
      </c>
      <c r="B126" s="451"/>
      <c r="C126" s="451"/>
      <c r="D126" s="451"/>
      <c r="E126" s="341">
        <v>2800</v>
      </c>
      <c r="F126" s="341"/>
      <c r="G126" s="341">
        <v>2800</v>
      </c>
    </row>
    <row r="127" spans="1:7" s="120" customFormat="1" ht="12.75" x14ac:dyDescent="0.2">
      <c r="A127" s="498" t="s">
        <v>862</v>
      </c>
      <c r="B127" s="499"/>
      <c r="C127" s="499"/>
      <c r="D127" s="500"/>
      <c r="E127" s="341"/>
      <c r="F127" s="341">
        <v>140000</v>
      </c>
      <c r="G127" s="341">
        <v>160000</v>
      </c>
    </row>
    <row r="128" spans="1:7" s="120" customFormat="1" ht="12.75" x14ac:dyDescent="0.2">
      <c r="A128" s="447">
        <v>3</v>
      </c>
      <c r="B128" s="448"/>
      <c r="C128" s="449"/>
      <c r="D128" s="19" t="s">
        <v>18</v>
      </c>
      <c r="E128" s="136">
        <f>E129</f>
        <v>74000</v>
      </c>
      <c r="F128" s="136">
        <f t="shared" ref="F128:G128" si="36">F129</f>
        <v>187000</v>
      </c>
      <c r="G128" s="136">
        <f t="shared" si="36"/>
        <v>194000</v>
      </c>
    </row>
    <row r="129" spans="1:7" s="120" customFormat="1" ht="12.75" x14ac:dyDescent="0.2">
      <c r="A129" s="453">
        <v>32</v>
      </c>
      <c r="B129" s="454"/>
      <c r="C129" s="455"/>
      <c r="D129" s="19" t="s">
        <v>32</v>
      </c>
      <c r="E129" s="326">
        <v>74000</v>
      </c>
      <c r="F129" s="326">
        <v>187000</v>
      </c>
      <c r="G129" s="326">
        <v>194000</v>
      </c>
    </row>
    <row r="130" spans="1:7" s="120" customFormat="1" ht="12.75" x14ac:dyDescent="0.2">
      <c r="A130" s="490" t="s">
        <v>582</v>
      </c>
      <c r="B130" s="491"/>
      <c r="C130" s="491"/>
      <c r="D130" s="492"/>
      <c r="E130" s="375">
        <f>E133</f>
        <v>3000</v>
      </c>
      <c r="F130" s="375">
        <f t="shared" ref="F130:G130" si="37">F133</f>
        <v>3500</v>
      </c>
      <c r="G130" s="375">
        <f t="shared" si="37"/>
        <v>2500</v>
      </c>
    </row>
    <row r="131" spans="1:7" s="120" customFormat="1" ht="15" customHeight="1" x14ac:dyDescent="0.2">
      <c r="A131" s="332" t="s">
        <v>440</v>
      </c>
      <c r="B131" s="339"/>
      <c r="C131" s="339"/>
      <c r="D131" s="339"/>
      <c r="E131" s="340"/>
      <c r="F131" s="340"/>
      <c r="G131" s="340"/>
    </row>
    <row r="132" spans="1:7" s="120" customFormat="1" ht="12.75" x14ac:dyDescent="0.2">
      <c r="A132" s="450" t="s">
        <v>865</v>
      </c>
      <c r="B132" s="451"/>
      <c r="C132" s="451"/>
      <c r="D132" s="451"/>
      <c r="E132" s="341">
        <v>3000</v>
      </c>
      <c r="F132" s="341">
        <v>3500</v>
      </c>
      <c r="G132" s="341">
        <v>2500</v>
      </c>
    </row>
    <row r="133" spans="1:7" s="120" customFormat="1" ht="12.75" x14ac:dyDescent="0.2">
      <c r="A133" s="447">
        <v>3</v>
      </c>
      <c r="B133" s="448"/>
      <c r="C133" s="449"/>
      <c r="D133" s="19" t="s">
        <v>18</v>
      </c>
      <c r="E133" s="326">
        <f>E134</f>
        <v>3000</v>
      </c>
      <c r="F133" s="326">
        <f t="shared" ref="F133:G133" si="38">F134</f>
        <v>3500</v>
      </c>
      <c r="G133" s="326">
        <f t="shared" si="38"/>
        <v>2500</v>
      </c>
    </row>
    <row r="134" spans="1:7" s="120" customFormat="1" ht="12.75" x14ac:dyDescent="0.2">
      <c r="A134" s="453">
        <v>32</v>
      </c>
      <c r="B134" s="454"/>
      <c r="C134" s="455"/>
      <c r="D134" s="19" t="s">
        <v>32</v>
      </c>
      <c r="E134" s="326">
        <v>3000</v>
      </c>
      <c r="F134" s="326">
        <v>3500</v>
      </c>
      <c r="G134" s="326">
        <v>2500</v>
      </c>
    </row>
    <row r="135" spans="1:7" s="120" customFormat="1" ht="12.75" x14ac:dyDescent="0.2">
      <c r="A135" s="490" t="s">
        <v>583</v>
      </c>
      <c r="B135" s="491"/>
      <c r="C135" s="491"/>
      <c r="D135" s="492"/>
      <c r="E135" s="375">
        <f>E139</f>
        <v>22000</v>
      </c>
      <c r="F135" s="375">
        <f t="shared" ref="F135:G135" si="39">F139</f>
        <v>25000</v>
      </c>
      <c r="G135" s="375">
        <f t="shared" si="39"/>
        <v>31400</v>
      </c>
    </row>
    <row r="136" spans="1:7" s="120" customFormat="1" ht="15" customHeight="1" x14ac:dyDescent="0.2">
      <c r="A136" s="332" t="s">
        <v>436</v>
      </c>
      <c r="B136" s="339"/>
      <c r="C136" s="339"/>
      <c r="D136" s="339"/>
      <c r="E136" s="340"/>
      <c r="F136" s="340"/>
      <c r="G136" s="340"/>
    </row>
    <row r="137" spans="1:7" s="120" customFormat="1" ht="15" customHeight="1" x14ac:dyDescent="0.2">
      <c r="A137" s="450" t="s">
        <v>865</v>
      </c>
      <c r="B137" s="451"/>
      <c r="C137" s="451"/>
      <c r="D137" s="451"/>
      <c r="E137" s="43">
        <f>5000+10500+4500</f>
        <v>20000</v>
      </c>
      <c r="F137" s="43">
        <v>14000</v>
      </c>
      <c r="G137" s="43">
        <v>19400</v>
      </c>
    </row>
    <row r="138" spans="1:7" s="120" customFormat="1" ht="12.75" x14ac:dyDescent="0.2">
      <c r="A138" s="450" t="s">
        <v>866</v>
      </c>
      <c r="B138" s="451"/>
      <c r="C138" s="451"/>
      <c r="D138" s="451"/>
      <c r="E138" s="341">
        <v>2000</v>
      </c>
      <c r="F138" s="341">
        <v>11000</v>
      </c>
      <c r="G138" s="341">
        <v>12000</v>
      </c>
    </row>
    <row r="139" spans="1:7" s="120" customFormat="1" ht="12.75" x14ac:dyDescent="0.2">
      <c r="A139" s="447">
        <v>3</v>
      </c>
      <c r="B139" s="448"/>
      <c r="C139" s="449"/>
      <c r="D139" s="19" t="s">
        <v>18</v>
      </c>
      <c r="E139" s="326">
        <f>E140</f>
        <v>22000</v>
      </c>
      <c r="F139" s="326">
        <f t="shared" ref="F139:G139" si="40">F140</f>
        <v>25000</v>
      </c>
      <c r="G139" s="326">
        <f t="shared" si="40"/>
        <v>31400</v>
      </c>
    </row>
    <row r="140" spans="1:7" s="120" customFormat="1" ht="12.75" x14ac:dyDescent="0.2">
      <c r="A140" s="453">
        <v>32</v>
      </c>
      <c r="B140" s="454"/>
      <c r="C140" s="455"/>
      <c r="D140" s="19" t="s">
        <v>32</v>
      </c>
      <c r="E140" s="326">
        <v>22000</v>
      </c>
      <c r="F140" s="326">
        <v>25000</v>
      </c>
      <c r="G140" s="326">
        <v>31400</v>
      </c>
    </row>
    <row r="141" spans="1:7" s="120" customFormat="1" ht="25.5" customHeight="1" x14ac:dyDescent="0.2">
      <c r="A141" s="458" t="s">
        <v>584</v>
      </c>
      <c r="B141" s="459"/>
      <c r="C141" s="459"/>
      <c r="D141" s="460"/>
      <c r="E141" s="375">
        <f>E144</f>
        <v>1900</v>
      </c>
      <c r="F141" s="375">
        <f t="shared" ref="F141:G141" si="41">F144</f>
        <v>2000</v>
      </c>
      <c r="G141" s="375">
        <f t="shared" si="41"/>
        <v>2000</v>
      </c>
    </row>
    <row r="142" spans="1:7" s="120" customFormat="1" ht="15" customHeight="1" x14ac:dyDescent="0.2">
      <c r="A142" s="332" t="s">
        <v>436</v>
      </c>
      <c r="B142" s="339"/>
      <c r="C142" s="339"/>
      <c r="D142" s="339"/>
      <c r="E142" s="340"/>
      <c r="F142" s="340"/>
      <c r="G142" s="340"/>
    </row>
    <row r="143" spans="1:7" s="120" customFormat="1" ht="12.75" x14ac:dyDescent="0.2">
      <c r="A143" s="450" t="s">
        <v>865</v>
      </c>
      <c r="B143" s="451"/>
      <c r="C143" s="451"/>
      <c r="D143" s="451"/>
      <c r="E143" s="341">
        <v>1900</v>
      </c>
      <c r="F143" s="341">
        <v>2000</v>
      </c>
      <c r="G143" s="341">
        <v>2000</v>
      </c>
    </row>
    <row r="144" spans="1:7" s="120" customFormat="1" ht="12.75" x14ac:dyDescent="0.2">
      <c r="A144" s="447">
        <v>3</v>
      </c>
      <c r="B144" s="448"/>
      <c r="C144" s="449"/>
      <c r="D144" s="19" t="s">
        <v>18</v>
      </c>
      <c r="E144" s="326">
        <f>E145</f>
        <v>1900</v>
      </c>
      <c r="F144" s="326">
        <f t="shared" ref="F144:G144" si="42">F145</f>
        <v>2000</v>
      </c>
      <c r="G144" s="326">
        <f t="shared" si="42"/>
        <v>2000</v>
      </c>
    </row>
    <row r="145" spans="1:7" s="120" customFormat="1" ht="12.75" x14ac:dyDescent="0.2">
      <c r="A145" s="453">
        <v>32</v>
      </c>
      <c r="B145" s="454"/>
      <c r="C145" s="455"/>
      <c r="D145" s="19" t="s">
        <v>32</v>
      </c>
      <c r="E145" s="326">
        <v>1900</v>
      </c>
      <c r="F145" s="326">
        <v>2000</v>
      </c>
      <c r="G145" s="326">
        <v>2000</v>
      </c>
    </row>
    <row r="146" spans="1:7" s="120" customFormat="1" ht="12.75" x14ac:dyDescent="0.2">
      <c r="A146" s="374" t="s">
        <v>585</v>
      </c>
      <c r="B146" s="374"/>
      <c r="C146" s="374"/>
      <c r="D146" s="374"/>
      <c r="E146" s="372">
        <f>E154</f>
        <v>3500</v>
      </c>
      <c r="F146" s="372">
        <f>F154</f>
        <v>18000</v>
      </c>
      <c r="G146" s="372">
        <f t="shared" ref="G146" si="43">G154</f>
        <v>4000</v>
      </c>
    </row>
    <row r="147" spans="1:7" s="120" customFormat="1" ht="15" customHeight="1" x14ac:dyDescent="0.2">
      <c r="A147" s="332" t="s">
        <v>431</v>
      </c>
      <c r="B147" s="339"/>
      <c r="C147" s="339"/>
      <c r="D147" s="339"/>
      <c r="E147" s="340"/>
      <c r="F147" s="340"/>
      <c r="G147" s="340"/>
    </row>
    <row r="148" spans="1:7" s="120" customFormat="1" ht="15" customHeight="1" x14ac:dyDescent="0.2">
      <c r="A148" s="450" t="s">
        <v>888</v>
      </c>
      <c r="B148" s="451"/>
      <c r="C148" s="451"/>
      <c r="D148" s="451"/>
      <c r="E148" s="387"/>
      <c r="F148" s="43">
        <v>5200</v>
      </c>
      <c r="G148" s="43"/>
    </row>
    <row r="149" spans="1:7" s="120" customFormat="1" ht="12.75" x14ac:dyDescent="0.2">
      <c r="A149" s="450" t="s">
        <v>865</v>
      </c>
      <c r="B149" s="451"/>
      <c r="C149" s="451"/>
      <c r="D149" s="451"/>
      <c r="E149" s="341">
        <v>200</v>
      </c>
      <c r="F149" s="341">
        <v>1000</v>
      </c>
      <c r="G149" s="341">
        <v>4000</v>
      </c>
    </row>
    <row r="150" spans="1:7" s="120" customFormat="1" ht="12.75" x14ac:dyDescent="0.2">
      <c r="A150" s="450" t="s">
        <v>866</v>
      </c>
      <c r="B150" s="451"/>
      <c r="C150" s="451"/>
      <c r="D150" s="452"/>
      <c r="E150" s="341">
        <v>3000</v>
      </c>
      <c r="F150" s="341"/>
      <c r="G150" s="341"/>
    </row>
    <row r="151" spans="1:7" s="120" customFormat="1" ht="12.75" x14ac:dyDescent="0.2">
      <c r="A151" s="450" t="s">
        <v>869</v>
      </c>
      <c r="B151" s="451"/>
      <c r="C151" s="451"/>
      <c r="D151" s="451"/>
      <c r="E151" s="341"/>
      <c r="F151" s="341">
        <v>2800</v>
      </c>
      <c r="G151" s="341"/>
    </row>
    <row r="152" spans="1:7" s="120" customFormat="1" ht="12.75" x14ac:dyDescent="0.2">
      <c r="A152" s="450" t="s">
        <v>870</v>
      </c>
      <c r="B152" s="451"/>
      <c r="C152" s="451"/>
      <c r="D152" s="452"/>
      <c r="E152" s="341">
        <v>300</v>
      </c>
      <c r="F152" s="341"/>
      <c r="G152" s="341"/>
    </row>
    <row r="153" spans="1:7" s="120" customFormat="1" ht="12.75" x14ac:dyDescent="0.2">
      <c r="A153" s="498" t="s">
        <v>862</v>
      </c>
      <c r="B153" s="499"/>
      <c r="C153" s="499"/>
      <c r="D153" s="500"/>
      <c r="E153" s="341"/>
      <c r="F153" s="341">
        <v>9000</v>
      </c>
      <c r="G153" s="341"/>
    </row>
    <row r="154" spans="1:7" s="120" customFormat="1" ht="12.75" x14ac:dyDescent="0.2">
      <c r="A154" s="447">
        <v>3</v>
      </c>
      <c r="B154" s="448"/>
      <c r="C154" s="449"/>
      <c r="D154" s="19" t="s">
        <v>18</v>
      </c>
      <c r="E154" s="136">
        <f>E155</f>
        <v>3500</v>
      </c>
      <c r="F154" s="136">
        <f t="shared" ref="F154:G154" si="44">F155</f>
        <v>18000</v>
      </c>
      <c r="G154" s="136">
        <f t="shared" si="44"/>
        <v>4000</v>
      </c>
    </row>
    <row r="155" spans="1:7" s="120" customFormat="1" ht="12.75" x14ac:dyDescent="0.2">
      <c r="A155" s="453">
        <v>32</v>
      </c>
      <c r="B155" s="454"/>
      <c r="C155" s="455"/>
      <c r="D155" s="19" t="s">
        <v>32</v>
      </c>
      <c r="E155" s="326">
        <v>3500</v>
      </c>
      <c r="F155" s="326">
        <v>18000</v>
      </c>
      <c r="G155" s="326">
        <v>4000</v>
      </c>
    </row>
    <row r="156" spans="1:7" s="120" customFormat="1" ht="25.5" customHeight="1" x14ac:dyDescent="0.2">
      <c r="A156" s="458" t="s">
        <v>586</v>
      </c>
      <c r="B156" s="459"/>
      <c r="C156" s="459"/>
      <c r="D156" s="460"/>
      <c r="E156" s="371">
        <f t="shared" ref="E156:G156" si="45">E160</f>
        <v>800</v>
      </c>
      <c r="F156" s="371">
        <f t="shared" si="45"/>
        <v>900</v>
      </c>
      <c r="G156" s="371">
        <f t="shared" si="45"/>
        <v>1300</v>
      </c>
    </row>
    <row r="157" spans="1:7" s="120" customFormat="1" ht="15" customHeight="1" x14ac:dyDescent="0.2">
      <c r="A157" s="332" t="s">
        <v>431</v>
      </c>
      <c r="B157" s="339"/>
      <c r="C157" s="339"/>
      <c r="D157" s="339"/>
      <c r="E157" s="340"/>
      <c r="F157" s="340"/>
      <c r="G157" s="340"/>
    </row>
    <row r="158" spans="1:7" s="120" customFormat="1" ht="12.75" x14ac:dyDescent="0.2">
      <c r="A158" s="450" t="s">
        <v>865</v>
      </c>
      <c r="B158" s="451"/>
      <c r="C158" s="451"/>
      <c r="D158" s="451"/>
      <c r="E158" s="341">
        <v>600</v>
      </c>
      <c r="F158" s="341">
        <v>800</v>
      </c>
      <c r="G158" s="341">
        <v>1200</v>
      </c>
    </row>
    <row r="159" spans="1:7" s="120" customFormat="1" ht="12.75" x14ac:dyDescent="0.2">
      <c r="A159" s="450" t="s">
        <v>871</v>
      </c>
      <c r="B159" s="451"/>
      <c r="C159" s="451"/>
      <c r="D159" s="452"/>
      <c r="E159" s="341">
        <v>200</v>
      </c>
      <c r="F159" s="341">
        <v>100</v>
      </c>
      <c r="G159" s="341">
        <v>100</v>
      </c>
    </row>
    <row r="160" spans="1:7" s="120" customFormat="1" ht="12.75" x14ac:dyDescent="0.2">
      <c r="A160" s="447">
        <v>3</v>
      </c>
      <c r="B160" s="448"/>
      <c r="C160" s="449"/>
      <c r="D160" s="19" t="s">
        <v>18</v>
      </c>
      <c r="E160" s="136">
        <f>E161</f>
        <v>800</v>
      </c>
      <c r="F160" s="136">
        <f t="shared" ref="F160:G160" si="46">F161</f>
        <v>900</v>
      </c>
      <c r="G160" s="136">
        <f t="shared" si="46"/>
        <v>1300</v>
      </c>
    </row>
    <row r="161" spans="1:7" s="120" customFormat="1" ht="12.75" x14ac:dyDescent="0.2">
      <c r="A161" s="453">
        <v>32</v>
      </c>
      <c r="B161" s="454"/>
      <c r="C161" s="455"/>
      <c r="D161" s="19" t="s">
        <v>32</v>
      </c>
      <c r="E161" s="326">
        <v>800</v>
      </c>
      <c r="F161" s="326">
        <v>900</v>
      </c>
      <c r="G161" s="326">
        <v>1300</v>
      </c>
    </row>
    <row r="162" spans="1:7" s="120" customFormat="1" ht="24.75" customHeight="1" x14ac:dyDescent="0.2">
      <c r="A162" s="458" t="s">
        <v>587</v>
      </c>
      <c r="B162" s="459"/>
      <c r="C162" s="459"/>
      <c r="D162" s="460"/>
      <c r="E162" s="371">
        <f t="shared" ref="E162:G162" si="47">E167</f>
        <v>18500</v>
      </c>
      <c r="F162" s="371">
        <f t="shared" si="47"/>
        <v>20000</v>
      </c>
      <c r="G162" s="371">
        <f t="shared" si="47"/>
        <v>23000</v>
      </c>
    </row>
    <row r="163" spans="1:7" s="120" customFormat="1" ht="15" customHeight="1" x14ac:dyDescent="0.2">
      <c r="A163" s="332" t="s">
        <v>435</v>
      </c>
      <c r="B163" s="339"/>
      <c r="C163" s="339"/>
      <c r="D163" s="339"/>
      <c r="E163" s="340"/>
      <c r="F163" s="340"/>
      <c r="G163" s="340"/>
    </row>
    <row r="164" spans="1:7" s="120" customFormat="1" ht="12.75" x14ac:dyDescent="0.2">
      <c r="A164" s="450" t="s">
        <v>865</v>
      </c>
      <c r="B164" s="451"/>
      <c r="C164" s="451"/>
      <c r="D164" s="451"/>
      <c r="E164" s="341">
        <f>1500+10000</f>
        <v>11500</v>
      </c>
      <c r="F164" s="341">
        <v>10000</v>
      </c>
      <c r="G164" s="341">
        <v>23000</v>
      </c>
    </row>
    <row r="165" spans="1:7" s="120" customFormat="1" ht="12.75" x14ac:dyDescent="0.2">
      <c r="A165" s="450" t="s">
        <v>885</v>
      </c>
      <c r="B165" s="451"/>
      <c r="C165" s="451"/>
      <c r="D165" s="452"/>
      <c r="E165" s="341">
        <v>7000</v>
      </c>
      <c r="F165" s="341"/>
      <c r="G165" s="341"/>
    </row>
    <row r="166" spans="1:7" s="120" customFormat="1" ht="12.75" x14ac:dyDescent="0.2">
      <c r="A166" s="498" t="s">
        <v>862</v>
      </c>
      <c r="B166" s="499"/>
      <c r="C166" s="499"/>
      <c r="D166" s="500"/>
      <c r="E166" s="341"/>
      <c r="F166" s="341">
        <v>10000</v>
      </c>
      <c r="G166" s="341"/>
    </row>
    <row r="167" spans="1:7" s="120" customFormat="1" ht="12.75" x14ac:dyDescent="0.2">
      <c r="A167" s="447">
        <v>3</v>
      </c>
      <c r="B167" s="448"/>
      <c r="C167" s="449"/>
      <c r="D167" s="19" t="s">
        <v>18</v>
      </c>
      <c r="E167" s="326">
        <f>E168</f>
        <v>18500</v>
      </c>
      <c r="F167" s="326">
        <f t="shared" ref="F167:G167" si="48">F168</f>
        <v>20000</v>
      </c>
      <c r="G167" s="326">
        <f t="shared" si="48"/>
        <v>23000</v>
      </c>
    </row>
    <row r="168" spans="1:7" s="120" customFormat="1" ht="12.75" x14ac:dyDescent="0.2">
      <c r="A168" s="453">
        <v>32</v>
      </c>
      <c r="B168" s="454"/>
      <c r="C168" s="455"/>
      <c r="D168" s="19" t="s">
        <v>32</v>
      </c>
      <c r="E168" s="326">
        <v>18500</v>
      </c>
      <c r="F168" s="326">
        <v>20000</v>
      </c>
      <c r="G168" s="326">
        <v>23000</v>
      </c>
    </row>
    <row r="169" spans="1:7" s="120" customFormat="1" ht="12.75" x14ac:dyDescent="0.2">
      <c r="A169" s="487" t="s">
        <v>412</v>
      </c>
      <c r="B169" s="488"/>
      <c r="C169" s="488"/>
      <c r="D169" s="489"/>
      <c r="E169" s="338">
        <f>E176+E188+E194+E200+E208+E213+E170+E182</f>
        <v>782750</v>
      </c>
      <c r="F169" s="338">
        <f>F176+F188+F194+F200+F208+F213+F218+F224</f>
        <v>254700</v>
      </c>
      <c r="G169" s="338">
        <f>G176+G188+G194+G200+G208+G213+G218+G224</f>
        <v>413000</v>
      </c>
    </row>
    <row r="170" spans="1:7" s="120" customFormat="1" ht="24.75" customHeight="1" x14ac:dyDescent="0.2">
      <c r="A170" s="446" t="s">
        <v>853</v>
      </c>
      <c r="B170" s="446"/>
      <c r="C170" s="446"/>
      <c r="D170" s="446"/>
      <c r="E170" s="371">
        <f>E174</f>
        <v>40000</v>
      </c>
      <c r="F170" s="371"/>
      <c r="G170" s="371"/>
    </row>
    <row r="171" spans="1:7" s="120" customFormat="1" ht="12.75" x14ac:dyDescent="0.2">
      <c r="A171" s="346" t="s">
        <v>431</v>
      </c>
      <c r="B171" s="347"/>
      <c r="C171" s="347"/>
      <c r="D171" s="348"/>
      <c r="E171" s="349"/>
      <c r="F171" s="349"/>
      <c r="G171" s="349"/>
    </row>
    <row r="172" spans="1:7" s="120" customFormat="1" ht="12.75" x14ac:dyDescent="0.2">
      <c r="A172" s="450" t="s">
        <v>863</v>
      </c>
      <c r="B172" s="451"/>
      <c r="C172" s="451"/>
      <c r="D172" s="452"/>
      <c r="E172" s="392">
        <v>35000</v>
      </c>
      <c r="F172" s="350"/>
      <c r="G172" s="350"/>
    </row>
    <row r="173" spans="1:7" s="120" customFormat="1" ht="12.75" x14ac:dyDescent="0.2">
      <c r="A173" s="498" t="s">
        <v>862</v>
      </c>
      <c r="B173" s="499"/>
      <c r="C173" s="499"/>
      <c r="D173" s="500"/>
      <c r="E173" s="392">
        <v>5000</v>
      </c>
      <c r="F173" s="350"/>
      <c r="G173" s="350"/>
    </row>
    <row r="174" spans="1:7" s="120" customFormat="1" ht="25.5" x14ac:dyDescent="0.2">
      <c r="A174" s="447">
        <v>4</v>
      </c>
      <c r="B174" s="448"/>
      <c r="C174" s="449"/>
      <c r="D174" s="19" t="s">
        <v>5</v>
      </c>
      <c r="E174" s="232">
        <f>E175</f>
        <v>40000</v>
      </c>
      <c r="F174" s="351"/>
      <c r="G174" s="351"/>
    </row>
    <row r="175" spans="1:7" s="120" customFormat="1" ht="25.5" x14ac:dyDescent="0.2">
      <c r="A175" s="453">
        <v>42</v>
      </c>
      <c r="B175" s="454"/>
      <c r="C175" s="455"/>
      <c r="D175" s="19" t="s">
        <v>108</v>
      </c>
      <c r="E175" s="232">
        <v>40000</v>
      </c>
      <c r="F175" s="351"/>
      <c r="G175" s="351"/>
    </row>
    <row r="176" spans="1:7" s="120" customFormat="1" ht="25.5" customHeight="1" x14ac:dyDescent="0.2">
      <c r="A176" s="446" t="s">
        <v>854</v>
      </c>
      <c r="B176" s="446"/>
      <c r="C176" s="446"/>
      <c r="D176" s="446"/>
      <c r="E176" s="372">
        <f t="shared" ref="E176:G176" si="49">E180</f>
        <v>75000</v>
      </c>
      <c r="F176" s="372">
        <f t="shared" si="49"/>
        <v>0</v>
      </c>
      <c r="G176" s="372">
        <f t="shared" si="49"/>
        <v>0</v>
      </c>
    </row>
    <row r="177" spans="1:7" s="120" customFormat="1" ht="12.75" x14ac:dyDescent="0.2">
      <c r="A177" s="332" t="s">
        <v>431</v>
      </c>
      <c r="B177" s="347"/>
      <c r="C177" s="347"/>
      <c r="D177" s="348"/>
      <c r="E177" s="352"/>
      <c r="F177" s="352"/>
      <c r="G177" s="352"/>
    </row>
    <row r="178" spans="1:7" s="120" customFormat="1" ht="12.75" x14ac:dyDescent="0.2">
      <c r="A178" s="450" t="s">
        <v>865</v>
      </c>
      <c r="B178" s="451"/>
      <c r="C178" s="451"/>
      <c r="D178" s="452"/>
      <c r="E178" s="391">
        <v>61000</v>
      </c>
      <c r="F178" s="390"/>
      <c r="G178" s="390"/>
    </row>
    <row r="179" spans="1:7" s="120" customFormat="1" ht="12.75" x14ac:dyDescent="0.2">
      <c r="A179" s="498" t="s">
        <v>862</v>
      </c>
      <c r="B179" s="499"/>
      <c r="C179" s="499"/>
      <c r="D179" s="500"/>
      <c r="E179" s="341">
        <v>14000</v>
      </c>
      <c r="F179" s="341"/>
      <c r="G179" s="341"/>
    </row>
    <row r="180" spans="1:7" s="120" customFormat="1" ht="25.5" x14ac:dyDescent="0.2">
      <c r="A180" s="447">
        <v>4</v>
      </c>
      <c r="B180" s="448"/>
      <c r="C180" s="449"/>
      <c r="D180" s="19" t="s">
        <v>5</v>
      </c>
      <c r="E180" s="326">
        <f>E181</f>
        <v>75000</v>
      </c>
      <c r="F180" s="326"/>
      <c r="G180" s="326"/>
    </row>
    <row r="181" spans="1:7" s="120" customFormat="1" ht="25.5" x14ac:dyDescent="0.2">
      <c r="A181" s="128"/>
      <c r="B181" s="129"/>
      <c r="C181" s="129">
        <v>45</v>
      </c>
      <c r="D181" s="130" t="s">
        <v>117</v>
      </c>
      <c r="E181" s="326">
        <v>75000</v>
      </c>
      <c r="F181" s="326"/>
      <c r="G181" s="326"/>
    </row>
    <row r="182" spans="1:7" s="120" customFormat="1" ht="12.75" x14ac:dyDescent="0.2">
      <c r="A182" s="539" t="s">
        <v>855</v>
      </c>
      <c r="B182" s="539"/>
      <c r="C182" s="539"/>
      <c r="D182" s="539"/>
      <c r="E182" s="379">
        <f>E186</f>
        <v>35000</v>
      </c>
      <c r="F182" s="379"/>
      <c r="G182" s="379"/>
    </row>
    <row r="183" spans="1:7" s="120" customFormat="1" ht="12.75" x14ac:dyDescent="0.2">
      <c r="A183" s="332" t="s">
        <v>431</v>
      </c>
      <c r="B183" s="347"/>
      <c r="C183" s="347"/>
      <c r="D183" s="348"/>
      <c r="E183" s="353"/>
      <c r="F183" s="353"/>
      <c r="G183" s="353"/>
    </row>
    <row r="184" spans="1:7" s="120" customFormat="1" ht="12.75" x14ac:dyDescent="0.2">
      <c r="A184" s="450" t="s">
        <v>865</v>
      </c>
      <c r="B184" s="451"/>
      <c r="C184" s="451"/>
      <c r="D184" s="452"/>
      <c r="E184" s="354">
        <v>30000</v>
      </c>
      <c r="F184" s="354"/>
      <c r="G184" s="354"/>
    </row>
    <row r="185" spans="1:7" s="120" customFormat="1" ht="12.75" x14ac:dyDescent="0.2">
      <c r="A185" s="498" t="s">
        <v>862</v>
      </c>
      <c r="B185" s="499"/>
      <c r="C185" s="499"/>
      <c r="D185" s="500"/>
      <c r="E185" s="354">
        <v>5000</v>
      </c>
      <c r="F185" s="354"/>
      <c r="G185" s="354"/>
    </row>
    <row r="186" spans="1:7" s="120" customFormat="1" ht="25.5" x14ac:dyDescent="0.2">
      <c r="A186" s="447">
        <v>4</v>
      </c>
      <c r="B186" s="448"/>
      <c r="C186" s="449"/>
      <c r="D186" s="19" t="s">
        <v>5</v>
      </c>
      <c r="E186" s="327">
        <f>E187</f>
        <v>35000</v>
      </c>
      <c r="F186" s="327"/>
      <c r="G186" s="327"/>
    </row>
    <row r="187" spans="1:7" s="120" customFormat="1" ht="25.5" x14ac:dyDescent="0.2">
      <c r="A187" s="128"/>
      <c r="B187" s="129"/>
      <c r="C187" s="129">
        <v>45</v>
      </c>
      <c r="D187" s="130" t="s">
        <v>117</v>
      </c>
      <c r="E187" s="327">
        <v>35000</v>
      </c>
      <c r="F187" s="327"/>
      <c r="G187" s="327"/>
    </row>
    <row r="188" spans="1:7" s="120" customFormat="1" ht="25.5" customHeight="1" x14ac:dyDescent="0.2">
      <c r="A188" s="461" t="s">
        <v>856</v>
      </c>
      <c r="B188" s="462"/>
      <c r="C188" s="462"/>
      <c r="D188" s="463"/>
      <c r="E188" s="473">
        <f>E192</f>
        <v>20000</v>
      </c>
      <c r="F188" s="473">
        <f>F192</f>
        <v>0</v>
      </c>
      <c r="G188" s="473">
        <f>G192</f>
        <v>0</v>
      </c>
    </row>
    <row r="189" spans="1:7" s="120" customFormat="1" ht="0.75" customHeight="1" x14ac:dyDescent="0.2">
      <c r="A189" s="464"/>
      <c r="B189" s="465"/>
      <c r="C189" s="465"/>
      <c r="D189" s="466"/>
      <c r="E189" s="475"/>
      <c r="F189" s="475"/>
      <c r="G189" s="475"/>
    </row>
    <row r="190" spans="1:7" s="120" customFormat="1" ht="12.75" x14ac:dyDescent="0.2">
      <c r="A190" s="332" t="s">
        <v>431</v>
      </c>
      <c r="B190" s="347"/>
      <c r="C190" s="347"/>
      <c r="D190" s="348"/>
      <c r="E190" s="352"/>
      <c r="F190" s="352"/>
      <c r="G190" s="352"/>
    </row>
    <row r="191" spans="1:7" s="120" customFormat="1" ht="12.75" x14ac:dyDescent="0.2">
      <c r="A191" s="450" t="s">
        <v>865</v>
      </c>
      <c r="B191" s="451"/>
      <c r="C191" s="451"/>
      <c r="D191" s="452"/>
      <c r="E191" s="341">
        <v>20000</v>
      </c>
      <c r="F191" s="341"/>
      <c r="G191" s="341"/>
    </row>
    <row r="192" spans="1:7" s="120" customFormat="1" ht="25.5" x14ac:dyDescent="0.2">
      <c r="A192" s="447">
        <v>4</v>
      </c>
      <c r="B192" s="448"/>
      <c r="C192" s="449"/>
      <c r="D192" s="19" t="s">
        <v>5</v>
      </c>
      <c r="E192" s="326">
        <f>E193</f>
        <v>20000</v>
      </c>
      <c r="F192" s="326">
        <f t="shared" ref="F192:G192" si="50">F193</f>
        <v>0</v>
      </c>
      <c r="G192" s="326">
        <f t="shared" si="50"/>
        <v>0</v>
      </c>
    </row>
    <row r="193" spans="1:7" s="120" customFormat="1" ht="25.5" x14ac:dyDescent="0.2">
      <c r="A193" s="128"/>
      <c r="B193" s="129"/>
      <c r="C193" s="129">
        <v>45</v>
      </c>
      <c r="D193" s="130" t="s">
        <v>117</v>
      </c>
      <c r="E193" s="326">
        <v>20000</v>
      </c>
      <c r="F193" s="326"/>
      <c r="G193" s="326"/>
    </row>
    <row r="194" spans="1:7" s="120" customFormat="1" ht="25.5" customHeight="1" x14ac:dyDescent="0.2">
      <c r="A194" s="446" t="s">
        <v>861</v>
      </c>
      <c r="B194" s="446"/>
      <c r="C194" s="446"/>
      <c r="D194" s="446"/>
      <c r="E194" s="375">
        <f t="shared" ref="E194:G194" si="51">E198</f>
        <v>160000</v>
      </c>
      <c r="F194" s="375">
        <f t="shared" si="51"/>
        <v>0</v>
      </c>
      <c r="G194" s="375">
        <f t="shared" si="51"/>
        <v>0</v>
      </c>
    </row>
    <row r="195" spans="1:7" s="120" customFormat="1" ht="12.75" x14ac:dyDescent="0.2">
      <c r="A195" s="346" t="s">
        <v>431</v>
      </c>
      <c r="B195" s="347"/>
      <c r="C195" s="347"/>
      <c r="D195" s="348"/>
      <c r="E195" s="352"/>
      <c r="F195" s="352"/>
      <c r="G195" s="352"/>
    </row>
    <row r="196" spans="1:7" s="120" customFormat="1" ht="12.75" x14ac:dyDescent="0.2">
      <c r="A196" s="450" t="s">
        <v>865</v>
      </c>
      <c r="B196" s="451"/>
      <c r="C196" s="451"/>
      <c r="D196" s="452"/>
      <c r="E196" s="341">
        <v>40000</v>
      </c>
      <c r="F196" s="341"/>
      <c r="G196" s="341"/>
    </row>
    <row r="197" spans="1:7" s="120" customFormat="1" ht="12.75" x14ac:dyDescent="0.2">
      <c r="A197" s="498" t="s">
        <v>862</v>
      </c>
      <c r="B197" s="499"/>
      <c r="C197" s="499"/>
      <c r="D197" s="500"/>
      <c r="E197" s="341">
        <f>70000+50000</f>
        <v>120000</v>
      </c>
      <c r="F197" s="341"/>
      <c r="G197" s="341"/>
    </row>
    <row r="198" spans="1:7" s="120" customFormat="1" ht="25.5" x14ac:dyDescent="0.2">
      <c r="A198" s="447">
        <v>4</v>
      </c>
      <c r="B198" s="448"/>
      <c r="C198" s="449"/>
      <c r="D198" s="19" t="s">
        <v>5</v>
      </c>
      <c r="E198" s="326">
        <f>E199</f>
        <v>160000</v>
      </c>
      <c r="F198" s="326">
        <f t="shared" ref="F198" si="52">F199</f>
        <v>0</v>
      </c>
      <c r="G198" s="326"/>
    </row>
    <row r="199" spans="1:7" s="120" customFormat="1" ht="25.5" x14ac:dyDescent="0.2">
      <c r="A199" s="453">
        <v>42</v>
      </c>
      <c r="B199" s="454"/>
      <c r="C199" s="455"/>
      <c r="D199" s="19" t="s">
        <v>108</v>
      </c>
      <c r="E199" s="326">
        <v>160000</v>
      </c>
      <c r="F199" s="326"/>
      <c r="G199" s="326"/>
    </row>
    <row r="200" spans="1:7" s="120" customFormat="1" ht="15" customHeight="1" x14ac:dyDescent="0.2">
      <c r="A200" s="461" t="s">
        <v>588</v>
      </c>
      <c r="B200" s="462"/>
      <c r="C200" s="462"/>
      <c r="D200" s="463"/>
      <c r="E200" s="473">
        <f>E206</f>
        <v>130000</v>
      </c>
      <c r="F200" s="473"/>
      <c r="G200" s="473"/>
    </row>
    <row r="201" spans="1:7" s="120" customFormat="1" ht="24" customHeight="1" x14ac:dyDescent="0.2">
      <c r="A201" s="464"/>
      <c r="B201" s="465"/>
      <c r="C201" s="465"/>
      <c r="D201" s="466"/>
      <c r="E201" s="475"/>
      <c r="F201" s="475"/>
      <c r="G201" s="475"/>
    </row>
    <row r="202" spans="1:7" s="120" customFormat="1" ht="12.75" x14ac:dyDescent="0.2">
      <c r="A202" s="346" t="s">
        <v>431</v>
      </c>
      <c r="B202" s="347"/>
      <c r="C202" s="347"/>
      <c r="D202" s="348"/>
      <c r="E202" s="352"/>
      <c r="F202" s="352"/>
      <c r="G202" s="352"/>
    </row>
    <row r="203" spans="1:7" s="120" customFormat="1" ht="12.75" x14ac:dyDescent="0.2">
      <c r="A203" s="450" t="s">
        <v>865</v>
      </c>
      <c r="B203" s="451"/>
      <c r="C203" s="451"/>
      <c r="D203" s="452"/>
      <c r="E203" s="391">
        <v>4000</v>
      </c>
      <c r="F203" s="390"/>
      <c r="G203" s="390"/>
    </row>
    <row r="204" spans="1:7" s="120" customFormat="1" ht="12.75" x14ac:dyDescent="0.2">
      <c r="A204" s="450" t="s">
        <v>863</v>
      </c>
      <c r="B204" s="451"/>
      <c r="C204" s="451"/>
      <c r="D204" s="452"/>
      <c r="E204" s="341">
        <v>50000</v>
      </c>
      <c r="F204" s="341"/>
      <c r="G204" s="341"/>
    </row>
    <row r="205" spans="1:7" s="120" customFormat="1" ht="12.75" x14ac:dyDescent="0.2">
      <c r="A205" s="498" t="s">
        <v>862</v>
      </c>
      <c r="B205" s="499"/>
      <c r="C205" s="499"/>
      <c r="D205" s="500"/>
      <c r="E205" s="341">
        <f>70000+6000</f>
        <v>76000</v>
      </c>
      <c r="F205" s="341"/>
      <c r="G205" s="341"/>
    </row>
    <row r="206" spans="1:7" s="120" customFormat="1" ht="25.5" x14ac:dyDescent="0.2">
      <c r="A206" s="447">
        <v>4</v>
      </c>
      <c r="B206" s="448"/>
      <c r="C206" s="449"/>
      <c r="D206" s="19" t="s">
        <v>5</v>
      </c>
      <c r="E206" s="326">
        <f>E207</f>
        <v>130000</v>
      </c>
      <c r="F206" s="326"/>
      <c r="G206" s="326"/>
    </row>
    <row r="207" spans="1:7" s="120" customFormat="1" ht="25.5" x14ac:dyDescent="0.2">
      <c r="A207" s="453">
        <v>42</v>
      </c>
      <c r="B207" s="454"/>
      <c r="C207" s="455"/>
      <c r="D207" s="19" t="s">
        <v>108</v>
      </c>
      <c r="E207" s="326">
        <v>130000</v>
      </c>
      <c r="F207" s="326"/>
      <c r="G207" s="326"/>
    </row>
    <row r="208" spans="1:7" s="120" customFormat="1" ht="24.75" customHeight="1" x14ac:dyDescent="0.2">
      <c r="A208" s="446" t="s">
        <v>589</v>
      </c>
      <c r="B208" s="446"/>
      <c r="C208" s="446"/>
      <c r="D208" s="446"/>
      <c r="E208" s="375">
        <f>E211</f>
        <v>315750</v>
      </c>
      <c r="F208" s="375"/>
      <c r="G208" s="375"/>
    </row>
    <row r="209" spans="1:7" s="120" customFormat="1" ht="12.75" x14ac:dyDescent="0.2">
      <c r="A209" s="346" t="s">
        <v>431</v>
      </c>
      <c r="B209" s="347"/>
      <c r="C209" s="347"/>
      <c r="D209" s="348"/>
      <c r="E209" s="352"/>
      <c r="F209" s="352"/>
      <c r="G209" s="352"/>
    </row>
    <row r="210" spans="1:7" s="120" customFormat="1" ht="12.75" x14ac:dyDescent="0.2">
      <c r="A210" s="450" t="s">
        <v>867</v>
      </c>
      <c r="B210" s="451"/>
      <c r="C210" s="451"/>
      <c r="D210" s="452"/>
      <c r="E210" s="341">
        <f>E208</f>
        <v>315750</v>
      </c>
      <c r="F210" s="341"/>
      <c r="G210" s="341"/>
    </row>
    <row r="211" spans="1:7" s="120" customFormat="1" ht="25.5" x14ac:dyDescent="0.2">
      <c r="A211" s="447">
        <v>4</v>
      </c>
      <c r="B211" s="448"/>
      <c r="C211" s="449"/>
      <c r="D211" s="19" t="s">
        <v>5</v>
      </c>
      <c r="E211" s="326">
        <f>E212</f>
        <v>315750</v>
      </c>
      <c r="F211" s="326"/>
      <c r="G211" s="326"/>
    </row>
    <row r="212" spans="1:7" s="120" customFormat="1" ht="25.5" x14ac:dyDescent="0.2">
      <c r="A212" s="453">
        <v>42</v>
      </c>
      <c r="B212" s="454"/>
      <c r="C212" s="455"/>
      <c r="D212" s="19" t="s">
        <v>108</v>
      </c>
      <c r="E212" s="326">
        <v>315750</v>
      </c>
      <c r="F212" s="326"/>
      <c r="G212" s="326"/>
    </row>
    <row r="213" spans="1:7" s="120" customFormat="1" ht="25.5" customHeight="1" x14ac:dyDescent="0.2">
      <c r="A213" s="446" t="s">
        <v>842</v>
      </c>
      <c r="B213" s="446"/>
      <c r="C213" s="446"/>
      <c r="D213" s="446"/>
      <c r="E213" s="375">
        <f>E216</f>
        <v>7000</v>
      </c>
      <c r="F213" s="382"/>
      <c r="G213" s="382"/>
    </row>
    <row r="214" spans="1:7" s="120" customFormat="1" ht="12.75" x14ac:dyDescent="0.2">
      <c r="A214" s="346" t="s">
        <v>431</v>
      </c>
      <c r="B214" s="347"/>
      <c r="C214" s="347"/>
      <c r="D214" s="348"/>
      <c r="E214" s="352"/>
      <c r="F214" s="352"/>
      <c r="G214" s="352"/>
    </row>
    <row r="215" spans="1:7" s="120" customFormat="1" ht="12.75" x14ac:dyDescent="0.2">
      <c r="A215" s="450" t="s">
        <v>866</v>
      </c>
      <c r="B215" s="451"/>
      <c r="C215" s="451"/>
      <c r="D215" s="452"/>
      <c r="E215" s="341">
        <v>7000</v>
      </c>
      <c r="F215" s="341"/>
      <c r="G215" s="341"/>
    </row>
    <row r="216" spans="1:7" s="120" customFormat="1" ht="25.5" x14ac:dyDescent="0.2">
      <c r="A216" s="447">
        <v>4</v>
      </c>
      <c r="B216" s="448"/>
      <c r="C216" s="449"/>
      <c r="D216" s="19" t="s">
        <v>5</v>
      </c>
      <c r="E216" s="326">
        <f>E217</f>
        <v>7000</v>
      </c>
      <c r="F216" s="326"/>
      <c r="G216" s="326"/>
    </row>
    <row r="217" spans="1:7" s="120" customFormat="1" ht="25.5" x14ac:dyDescent="0.2">
      <c r="A217" s="453">
        <v>42</v>
      </c>
      <c r="B217" s="454"/>
      <c r="C217" s="455"/>
      <c r="D217" s="19" t="s">
        <v>108</v>
      </c>
      <c r="E217" s="326">
        <v>7000</v>
      </c>
      <c r="F217" s="326"/>
      <c r="G217" s="326"/>
    </row>
    <row r="218" spans="1:7" s="120" customFormat="1" ht="25.5" customHeight="1" x14ac:dyDescent="0.2">
      <c r="A218" s="446" t="s">
        <v>590</v>
      </c>
      <c r="B218" s="446"/>
      <c r="C218" s="446"/>
      <c r="D218" s="446"/>
      <c r="E218" s="382"/>
      <c r="F218" s="375">
        <f>F222</f>
        <v>207700</v>
      </c>
      <c r="G218" s="375">
        <f>G222</f>
        <v>275000</v>
      </c>
    </row>
    <row r="219" spans="1:7" s="120" customFormat="1" ht="12.75" x14ac:dyDescent="0.2">
      <c r="A219" s="346" t="s">
        <v>431</v>
      </c>
      <c r="B219" s="347"/>
      <c r="C219" s="347"/>
      <c r="D219" s="348"/>
      <c r="E219" s="355"/>
      <c r="F219" s="355"/>
      <c r="G219" s="355"/>
    </row>
    <row r="220" spans="1:7" s="120" customFormat="1" ht="12.75" x14ac:dyDescent="0.2">
      <c r="A220" s="450" t="s">
        <v>863</v>
      </c>
      <c r="B220" s="451"/>
      <c r="C220" s="451"/>
      <c r="D220" s="452"/>
      <c r="E220" s="341"/>
      <c r="F220" s="341"/>
      <c r="G220" s="341">
        <v>35000</v>
      </c>
    </row>
    <row r="221" spans="1:7" s="120" customFormat="1" ht="12.75" x14ac:dyDescent="0.2">
      <c r="A221" s="450" t="s">
        <v>867</v>
      </c>
      <c r="B221" s="451"/>
      <c r="C221" s="451"/>
      <c r="D221" s="452"/>
      <c r="E221" s="341"/>
      <c r="F221" s="341">
        <v>207700</v>
      </c>
      <c r="G221" s="341">
        <v>240000</v>
      </c>
    </row>
    <row r="222" spans="1:7" s="120" customFormat="1" ht="25.5" x14ac:dyDescent="0.2">
      <c r="A222" s="447">
        <v>4</v>
      </c>
      <c r="B222" s="448"/>
      <c r="C222" s="449"/>
      <c r="D222" s="19" t="s">
        <v>5</v>
      </c>
      <c r="E222" s="326"/>
      <c r="F222" s="326">
        <f>F223</f>
        <v>207700</v>
      </c>
      <c r="G222" s="326">
        <f>G223</f>
        <v>275000</v>
      </c>
    </row>
    <row r="223" spans="1:7" s="120" customFormat="1" ht="25.5" x14ac:dyDescent="0.2">
      <c r="A223" s="453">
        <v>42</v>
      </c>
      <c r="B223" s="454"/>
      <c r="C223" s="455"/>
      <c r="D223" s="19" t="s">
        <v>108</v>
      </c>
      <c r="E223" s="326"/>
      <c r="F223" s="326">
        <v>207700</v>
      </c>
      <c r="G223" s="326">
        <v>275000</v>
      </c>
    </row>
    <row r="224" spans="1:7" s="120" customFormat="1" ht="24.75" customHeight="1" x14ac:dyDescent="0.2">
      <c r="A224" s="446" t="s">
        <v>845</v>
      </c>
      <c r="B224" s="446"/>
      <c r="C224" s="446"/>
      <c r="D224" s="446"/>
      <c r="E224" s="382"/>
      <c r="F224" s="375">
        <f>F230</f>
        <v>47000</v>
      </c>
      <c r="G224" s="375">
        <f>G230</f>
        <v>138000</v>
      </c>
    </row>
    <row r="225" spans="1:7" s="120" customFormat="1" ht="12.75" x14ac:dyDescent="0.2">
      <c r="A225" s="346" t="s">
        <v>431</v>
      </c>
      <c r="B225" s="347"/>
      <c r="C225" s="347"/>
      <c r="D225" s="348"/>
      <c r="E225" s="326"/>
      <c r="F225" s="326"/>
      <c r="G225" s="326"/>
    </row>
    <row r="226" spans="1:7" s="120" customFormat="1" ht="12.75" x14ac:dyDescent="0.2">
      <c r="A226" s="450" t="s">
        <v>865</v>
      </c>
      <c r="B226" s="451"/>
      <c r="C226" s="451"/>
      <c r="D226" s="452"/>
      <c r="E226" s="341"/>
      <c r="F226" s="341"/>
      <c r="G226" s="341">
        <v>5520</v>
      </c>
    </row>
    <row r="227" spans="1:7" s="120" customFormat="1" ht="12.75" x14ac:dyDescent="0.2">
      <c r="A227" s="450" t="s">
        <v>863</v>
      </c>
      <c r="B227" s="451"/>
      <c r="C227" s="451"/>
      <c r="D227" s="452"/>
      <c r="E227" s="341"/>
      <c r="F227" s="341">
        <v>35000</v>
      </c>
      <c r="G227" s="341"/>
    </row>
    <row r="228" spans="1:7" s="120" customFormat="1" ht="12.75" x14ac:dyDescent="0.2">
      <c r="A228" s="450" t="s">
        <v>867</v>
      </c>
      <c r="B228" s="451"/>
      <c r="C228" s="451"/>
      <c r="D228" s="452"/>
      <c r="E228" s="341"/>
      <c r="F228" s="341"/>
      <c r="G228" s="341">
        <v>100000</v>
      </c>
    </row>
    <row r="229" spans="1:7" s="120" customFormat="1" ht="12.75" x14ac:dyDescent="0.2">
      <c r="A229" s="498" t="s">
        <v>862</v>
      </c>
      <c r="B229" s="499"/>
      <c r="C229" s="499"/>
      <c r="D229" s="500"/>
      <c r="E229" s="341"/>
      <c r="F229" s="341">
        <v>12000</v>
      </c>
      <c r="G229" s="341">
        <v>32480</v>
      </c>
    </row>
    <row r="230" spans="1:7" s="120" customFormat="1" ht="25.5" x14ac:dyDescent="0.2">
      <c r="A230" s="447">
        <v>4</v>
      </c>
      <c r="B230" s="448"/>
      <c r="C230" s="449"/>
      <c r="D230" s="19" t="s">
        <v>5</v>
      </c>
      <c r="E230" s="326"/>
      <c r="F230" s="326">
        <f>F231</f>
        <v>47000</v>
      </c>
      <c r="G230" s="326">
        <f>G231</f>
        <v>138000</v>
      </c>
    </row>
    <row r="231" spans="1:7" s="120" customFormat="1" ht="25.5" x14ac:dyDescent="0.2">
      <c r="A231" s="453">
        <v>42</v>
      </c>
      <c r="B231" s="454"/>
      <c r="C231" s="455"/>
      <c r="D231" s="19" t="s">
        <v>108</v>
      </c>
      <c r="E231" s="326"/>
      <c r="F231" s="326">
        <v>47000</v>
      </c>
      <c r="G231" s="326">
        <v>138000</v>
      </c>
    </row>
    <row r="232" spans="1:7" s="120" customFormat="1" ht="12.75" x14ac:dyDescent="0.2">
      <c r="A232" s="537" t="s">
        <v>413</v>
      </c>
      <c r="B232" s="538"/>
      <c r="C232" s="538"/>
      <c r="D232" s="538"/>
      <c r="E232" s="476">
        <f t="shared" ref="E232:G232" si="53">E234</f>
        <v>20000</v>
      </c>
      <c r="F232" s="476">
        <f t="shared" si="53"/>
        <v>0</v>
      </c>
      <c r="G232" s="476">
        <f t="shared" si="53"/>
        <v>0</v>
      </c>
    </row>
    <row r="233" spans="1:7" s="120" customFormat="1" ht="12.75" x14ac:dyDescent="0.2">
      <c r="A233" s="356" t="s">
        <v>83</v>
      </c>
      <c r="B233" s="357"/>
      <c r="C233" s="357"/>
      <c r="D233" s="357"/>
      <c r="E233" s="477"/>
      <c r="F233" s="477"/>
      <c r="G233" s="477"/>
    </row>
    <row r="234" spans="1:7" s="120" customFormat="1" ht="12.75" x14ac:dyDescent="0.2">
      <c r="A234" s="456" t="s">
        <v>591</v>
      </c>
      <c r="B234" s="457"/>
      <c r="C234" s="457"/>
      <c r="D234" s="486"/>
      <c r="E234" s="535">
        <f>E239</f>
        <v>20000</v>
      </c>
      <c r="F234" s="535">
        <f t="shared" ref="F234:G234" si="54">F239</f>
        <v>0</v>
      </c>
      <c r="G234" s="535">
        <f t="shared" si="54"/>
        <v>0</v>
      </c>
    </row>
    <row r="235" spans="1:7" s="120" customFormat="1" ht="12.75" x14ac:dyDescent="0.2">
      <c r="A235" s="478" t="s">
        <v>113</v>
      </c>
      <c r="B235" s="479"/>
      <c r="C235" s="479"/>
      <c r="D235" s="479"/>
      <c r="E235" s="536"/>
      <c r="F235" s="536"/>
      <c r="G235" s="536"/>
    </row>
    <row r="236" spans="1:7" s="120" customFormat="1" ht="12.75" x14ac:dyDescent="0.2">
      <c r="A236" s="346" t="s">
        <v>437</v>
      </c>
      <c r="B236" s="347"/>
      <c r="C236" s="347"/>
      <c r="D236" s="348"/>
      <c r="E236" s="352"/>
      <c r="F236" s="352"/>
      <c r="G236" s="352"/>
    </row>
    <row r="237" spans="1:7" s="120" customFormat="1" ht="12.75" x14ac:dyDescent="0.2">
      <c r="A237" s="450" t="s">
        <v>888</v>
      </c>
      <c r="B237" s="451"/>
      <c r="C237" s="451"/>
      <c r="D237" s="451"/>
      <c r="E237" s="391">
        <v>10000</v>
      </c>
      <c r="F237" s="391"/>
      <c r="G237" s="391"/>
    </row>
    <row r="238" spans="1:7" s="120" customFormat="1" ht="12.75" x14ac:dyDescent="0.2">
      <c r="A238" s="450" t="s">
        <v>867</v>
      </c>
      <c r="B238" s="451"/>
      <c r="C238" s="451"/>
      <c r="D238" s="452"/>
      <c r="E238" s="341">
        <v>10000</v>
      </c>
      <c r="F238" s="341"/>
      <c r="G238" s="341"/>
    </row>
    <row r="239" spans="1:7" s="120" customFormat="1" ht="25.5" x14ac:dyDescent="0.2">
      <c r="A239" s="447">
        <v>4</v>
      </c>
      <c r="B239" s="448"/>
      <c r="C239" s="449"/>
      <c r="D239" s="39" t="s">
        <v>5</v>
      </c>
      <c r="E239" s="326">
        <f>E240</f>
        <v>20000</v>
      </c>
      <c r="F239" s="326">
        <f t="shared" ref="F239:G239" si="55">F240</f>
        <v>0</v>
      </c>
      <c r="G239" s="326">
        <f t="shared" si="55"/>
        <v>0</v>
      </c>
    </row>
    <row r="240" spans="1:7" s="120" customFormat="1" ht="25.5" x14ac:dyDescent="0.2">
      <c r="A240" s="453">
        <v>42</v>
      </c>
      <c r="B240" s="454"/>
      <c r="C240" s="455"/>
      <c r="D240" s="39" t="s">
        <v>108</v>
      </c>
      <c r="E240" s="326">
        <v>20000</v>
      </c>
      <c r="F240" s="326"/>
      <c r="G240" s="326"/>
    </row>
    <row r="241" spans="1:7" s="120" customFormat="1" ht="12.75" x14ac:dyDescent="0.2">
      <c r="A241" s="345" t="s">
        <v>414</v>
      </c>
      <c r="B241" s="345"/>
      <c r="C241" s="345"/>
      <c r="D241" s="345"/>
      <c r="E241" s="344">
        <f>E242+E249+E254</f>
        <v>23290</v>
      </c>
      <c r="F241" s="344">
        <f>F242+F249+F254</f>
        <v>42700</v>
      </c>
      <c r="G241" s="344">
        <f>G242+G249+G254</f>
        <v>50800</v>
      </c>
    </row>
    <row r="242" spans="1:7" s="120" customFormat="1" ht="12.75" x14ac:dyDescent="0.2">
      <c r="A242" s="368" t="s">
        <v>592</v>
      </c>
      <c r="B242" s="368"/>
      <c r="C242" s="368"/>
      <c r="D242" s="368"/>
      <c r="E242" s="381">
        <f t="shared" ref="E242:G242" si="56">E246</f>
        <v>14060</v>
      </c>
      <c r="F242" s="381">
        <f t="shared" si="56"/>
        <v>15900</v>
      </c>
      <c r="G242" s="381">
        <f t="shared" si="56"/>
        <v>16400</v>
      </c>
    </row>
    <row r="243" spans="1:7" s="120" customFormat="1" ht="12.75" x14ac:dyDescent="0.2">
      <c r="A243" s="346" t="s">
        <v>438</v>
      </c>
      <c r="B243" s="347"/>
      <c r="C243" s="347"/>
      <c r="D243" s="348"/>
      <c r="E243" s="352"/>
      <c r="F243" s="352"/>
      <c r="G243" s="352"/>
    </row>
    <row r="244" spans="1:7" s="120" customFormat="1" ht="12.75" x14ac:dyDescent="0.2">
      <c r="A244" s="450" t="s">
        <v>888</v>
      </c>
      <c r="B244" s="451"/>
      <c r="C244" s="451"/>
      <c r="D244" s="451"/>
      <c r="E244" s="341">
        <v>14060</v>
      </c>
      <c r="F244" s="341">
        <v>5900</v>
      </c>
      <c r="G244" s="341">
        <v>16400</v>
      </c>
    </row>
    <row r="245" spans="1:7" s="120" customFormat="1" ht="12.75" x14ac:dyDescent="0.2">
      <c r="A245" s="498" t="s">
        <v>862</v>
      </c>
      <c r="B245" s="499"/>
      <c r="C245" s="499"/>
      <c r="D245" s="500"/>
      <c r="E245" s="341"/>
      <c r="F245" s="341">
        <v>10000</v>
      </c>
      <c r="G245" s="341"/>
    </row>
    <row r="246" spans="1:7" s="120" customFormat="1" ht="12.75" x14ac:dyDescent="0.2">
      <c r="A246" s="447">
        <v>3</v>
      </c>
      <c r="B246" s="448"/>
      <c r="C246" s="449"/>
      <c r="D246" s="19" t="s">
        <v>18</v>
      </c>
      <c r="E246" s="136">
        <f>E247+E248</f>
        <v>14060</v>
      </c>
      <c r="F246" s="136">
        <f t="shared" ref="F246:G246" si="57">F247+F248</f>
        <v>15900</v>
      </c>
      <c r="G246" s="136">
        <f t="shared" si="57"/>
        <v>16400</v>
      </c>
    </row>
    <row r="247" spans="1:7" s="120" customFormat="1" ht="12.75" x14ac:dyDescent="0.2">
      <c r="A247" s="453">
        <v>32</v>
      </c>
      <c r="B247" s="454"/>
      <c r="C247" s="455"/>
      <c r="D247" s="19" t="s">
        <v>32</v>
      </c>
      <c r="E247" s="326">
        <v>11660</v>
      </c>
      <c r="F247" s="326">
        <v>13500</v>
      </c>
      <c r="G247" s="326">
        <v>14000</v>
      </c>
    </row>
    <row r="248" spans="1:7" s="120" customFormat="1" ht="25.5" x14ac:dyDescent="0.2">
      <c r="A248" s="443">
        <v>36</v>
      </c>
      <c r="B248" s="444"/>
      <c r="C248" s="445"/>
      <c r="D248" s="39" t="s">
        <v>48</v>
      </c>
      <c r="E248" s="326">
        <v>2400</v>
      </c>
      <c r="F248" s="326">
        <v>2400</v>
      </c>
      <c r="G248" s="326">
        <v>2400</v>
      </c>
    </row>
    <row r="249" spans="1:7" s="120" customFormat="1" ht="24.75" customHeight="1" x14ac:dyDescent="0.2">
      <c r="A249" s="458" t="s">
        <v>593</v>
      </c>
      <c r="B249" s="459"/>
      <c r="C249" s="459"/>
      <c r="D249" s="460"/>
      <c r="E249" s="371">
        <f>E252</f>
        <v>9230</v>
      </c>
      <c r="F249" s="371">
        <f t="shared" ref="F249:G249" si="58">F252</f>
        <v>9300</v>
      </c>
      <c r="G249" s="371">
        <f t="shared" si="58"/>
        <v>9400</v>
      </c>
    </row>
    <row r="250" spans="1:7" s="120" customFormat="1" ht="12.75" x14ac:dyDescent="0.2">
      <c r="A250" s="346" t="s">
        <v>439</v>
      </c>
      <c r="B250" s="347"/>
      <c r="C250" s="347"/>
      <c r="D250" s="348"/>
      <c r="E250" s="352"/>
      <c r="F250" s="352"/>
      <c r="G250" s="352"/>
    </row>
    <row r="251" spans="1:7" s="120" customFormat="1" ht="12.75" x14ac:dyDescent="0.2">
      <c r="A251" s="450" t="s">
        <v>888</v>
      </c>
      <c r="B251" s="451"/>
      <c r="C251" s="451"/>
      <c r="D251" s="451"/>
      <c r="E251" s="341">
        <v>9230</v>
      </c>
      <c r="F251" s="341">
        <v>9300</v>
      </c>
      <c r="G251" s="341">
        <v>9400</v>
      </c>
    </row>
    <row r="252" spans="1:7" s="120" customFormat="1" ht="12.75" x14ac:dyDescent="0.2">
      <c r="A252" s="447">
        <v>3</v>
      </c>
      <c r="B252" s="448"/>
      <c r="C252" s="449"/>
      <c r="D252" s="19" t="s">
        <v>18</v>
      </c>
      <c r="E252" s="136">
        <f>E253</f>
        <v>9230</v>
      </c>
      <c r="F252" s="136">
        <f t="shared" ref="F252:G252" si="59">F253</f>
        <v>9300</v>
      </c>
      <c r="G252" s="136">
        <f t="shared" si="59"/>
        <v>9400</v>
      </c>
    </row>
    <row r="253" spans="1:7" s="120" customFormat="1" ht="12.75" x14ac:dyDescent="0.2">
      <c r="A253" s="453">
        <v>32</v>
      </c>
      <c r="B253" s="454"/>
      <c r="C253" s="455"/>
      <c r="D253" s="19" t="s">
        <v>32</v>
      </c>
      <c r="E253" s="326">
        <v>9230</v>
      </c>
      <c r="F253" s="326">
        <v>9300</v>
      </c>
      <c r="G253" s="326">
        <v>9400</v>
      </c>
    </row>
    <row r="254" spans="1:7" s="120" customFormat="1" ht="24.75" customHeight="1" x14ac:dyDescent="0.2">
      <c r="A254" s="458" t="s">
        <v>594</v>
      </c>
      <c r="B254" s="459"/>
      <c r="C254" s="459"/>
      <c r="D254" s="460"/>
      <c r="E254" s="371">
        <f>E257</f>
        <v>0</v>
      </c>
      <c r="F254" s="371">
        <f>F257</f>
        <v>17500</v>
      </c>
      <c r="G254" s="371">
        <f>G257</f>
        <v>25000</v>
      </c>
    </row>
    <row r="255" spans="1:7" s="120" customFormat="1" ht="12.75" x14ac:dyDescent="0.2">
      <c r="A255" s="346" t="s">
        <v>440</v>
      </c>
      <c r="B255" s="347"/>
      <c r="C255" s="347"/>
      <c r="D255" s="348"/>
      <c r="E255" s="352"/>
      <c r="F255" s="352"/>
      <c r="G255" s="352"/>
    </row>
    <row r="256" spans="1:7" s="120" customFormat="1" ht="12.75" x14ac:dyDescent="0.2">
      <c r="A256" s="450" t="s">
        <v>888</v>
      </c>
      <c r="B256" s="451"/>
      <c r="C256" s="451"/>
      <c r="D256" s="451"/>
      <c r="E256" s="341"/>
      <c r="F256" s="341">
        <v>17500</v>
      </c>
      <c r="G256" s="341">
        <v>25000</v>
      </c>
    </row>
    <row r="257" spans="1:7" s="120" customFormat="1" ht="25.5" x14ac:dyDescent="0.2">
      <c r="A257" s="447">
        <v>4</v>
      </c>
      <c r="B257" s="448"/>
      <c r="C257" s="449"/>
      <c r="D257" s="39" t="s">
        <v>5</v>
      </c>
      <c r="E257" s="136">
        <f>E258</f>
        <v>0</v>
      </c>
      <c r="F257" s="136">
        <f t="shared" ref="F257:G257" si="60">F258</f>
        <v>17500</v>
      </c>
      <c r="G257" s="136">
        <f t="shared" si="60"/>
        <v>25000</v>
      </c>
    </row>
    <row r="258" spans="1:7" s="120" customFormat="1" ht="25.5" x14ac:dyDescent="0.2">
      <c r="A258" s="453">
        <v>42</v>
      </c>
      <c r="B258" s="454"/>
      <c r="C258" s="455"/>
      <c r="D258" s="39" t="s">
        <v>108</v>
      </c>
      <c r="E258" s="326"/>
      <c r="F258" s="326">
        <v>17500</v>
      </c>
      <c r="G258" s="326">
        <v>25000</v>
      </c>
    </row>
    <row r="259" spans="1:7" s="120" customFormat="1" ht="12.75" x14ac:dyDescent="0.2">
      <c r="A259" s="345" t="s">
        <v>415</v>
      </c>
      <c r="B259" s="345"/>
      <c r="C259" s="345"/>
      <c r="D259" s="345"/>
      <c r="E259" s="358">
        <f t="shared" ref="E259:G259" si="61">E260</f>
        <v>15700</v>
      </c>
      <c r="F259" s="358">
        <f t="shared" si="61"/>
        <v>17200</v>
      </c>
      <c r="G259" s="358">
        <f t="shared" si="61"/>
        <v>17200</v>
      </c>
    </row>
    <row r="260" spans="1:7" s="120" customFormat="1" ht="12.75" x14ac:dyDescent="0.2">
      <c r="A260" s="368" t="s">
        <v>595</v>
      </c>
      <c r="B260" s="368"/>
      <c r="C260" s="368"/>
      <c r="D260" s="368"/>
      <c r="E260" s="380">
        <f t="shared" ref="E260:G260" si="62">E263</f>
        <v>15700</v>
      </c>
      <c r="F260" s="380">
        <f t="shared" si="62"/>
        <v>17200</v>
      </c>
      <c r="G260" s="380">
        <f t="shared" si="62"/>
        <v>17200</v>
      </c>
    </row>
    <row r="261" spans="1:7" s="120" customFormat="1" ht="12.75" x14ac:dyDescent="0.2">
      <c r="A261" s="529" t="s">
        <v>441</v>
      </c>
      <c r="B261" s="530"/>
      <c r="C261" s="530"/>
      <c r="D261" s="530"/>
      <c r="E261" s="530"/>
      <c r="F261" s="530"/>
      <c r="G261" s="531"/>
    </row>
    <row r="262" spans="1:7" s="120" customFormat="1" ht="12.75" x14ac:dyDescent="0.2">
      <c r="A262" s="450" t="s">
        <v>888</v>
      </c>
      <c r="B262" s="451"/>
      <c r="C262" s="451"/>
      <c r="D262" s="451"/>
      <c r="E262" s="341">
        <v>15700</v>
      </c>
      <c r="F262" s="341">
        <v>17200</v>
      </c>
      <c r="G262" s="341">
        <v>17200</v>
      </c>
    </row>
    <row r="263" spans="1:7" s="120" customFormat="1" ht="12.75" x14ac:dyDescent="0.2">
      <c r="A263" s="447">
        <v>3</v>
      </c>
      <c r="B263" s="448"/>
      <c r="C263" s="449"/>
      <c r="D263" s="39" t="s">
        <v>18</v>
      </c>
      <c r="E263" s="136">
        <f>E264+E265</f>
        <v>15700</v>
      </c>
      <c r="F263" s="136">
        <f t="shared" ref="F263:G263" si="63">F264+F265</f>
        <v>17200</v>
      </c>
      <c r="G263" s="136">
        <f t="shared" si="63"/>
        <v>17200</v>
      </c>
    </row>
    <row r="264" spans="1:7" s="120" customFormat="1" ht="12.75" x14ac:dyDescent="0.2">
      <c r="A264" s="453">
        <v>32</v>
      </c>
      <c r="B264" s="454"/>
      <c r="C264" s="455"/>
      <c r="D264" s="39" t="s">
        <v>32</v>
      </c>
      <c r="E264" s="326">
        <v>15400</v>
      </c>
      <c r="F264" s="326">
        <v>17000</v>
      </c>
      <c r="G264" s="326">
        <v>17000</v>
      </c>
    </row>
    <row r="265" spans="1:7" s="120" customFormat="1" ht="12.75" x14ac:dyDescent="0.2">
      <c r="A265" s="453">
        <v>35</v>
      </c>
      <c r="B265" s="454"/>
      <c r="C265" s="455"/>
      <c r="D265" s="39" t="s">
        <v>47</v>
      </c>
      <c r="E265" s="326">
        <v>300</v>
      </c>
      <c r="F265" s="326">
        <v>200</v>
      </c>
      <c r="G265" s="326">
        <v>200</v>
      </c>
    </row>
    <row r="266" spans="1:7" s="120" customFormat="1" ht="12.75" x14ac:dyDescent="0.2">
      <c r="A266" s="487" t="s">
        <v>416</v>
      </c>
      <c r="B266" s="488"/>
      <c r="C266" s="488"/>
      <c r="D266" s="489"/>
      <c r="E266" s="338">
        <f>E267+E272+E282+E287+E292</f>
        <v>77500</v>
      </c>
      <c r="F266" s="338">
        <f>F267+F272+F282+F287+F292</f>
        <v>301000</v>
      </c>
      <c r="G266" s="338">
        <f>G267+G272+G282+G287+G292</f>
        <v>258000</v>
      </c>
    </row>
    <row r="267" spans="1:7" s="120" customFormat="1" ht="24.75" customHeight="1" x14ac:dyDescent="0.2">
      <c r="A267" s="458" t="s">
        <v>596</v>
      </c>
      <c r="B267" s="459"/>
      <c r="C267" s="459"/>
      <c r="D267" s="460"/>
      <c r="E267" s="371">
        <f>E270</f>
        <v>25000</v>
      </c>
      <c r="F267" s="371"/>
      <c r="G267" s="371"/>
    </row>
    <row r="268" spans="1:7" s="120" customFormat="1" ht="12.75" x14ac:dyDescent="0.2">
      <c r="A268" s="346" t="s">
        <v>431</v>
      </c>
      <c r="B268" s="347"/>
      <c r="C268" s="347"/>
      <c r="D268" s="348"/>
      <c r="E268" s="352"/>
      <c r="F268" s="352"/>
      <c r="G268" s="352"/>
    </row>
    <row r="269" spans="1:7" s="120" customFormat="1" ht="12.75" x14ac:dyDescent="0.2">
      <c r="A269" s="450" t="s">
        <v>888</v>
      </c>
      <c r="B269" s="451"/>
      <c r="C269" s="451"/>
      <c r="D269" s="451"/>
      <c r="E269" s="359">
        <v>25000</v>
      </c>
      <c r="F269" s="360"/>
      <c r="G269" s="360"/>
    </row>
    <row r="270" spans="1:7" s="120" customFormat="1" ht="25.5" x14ac:dyDescent="0.2">
      <c r="A270" s="447">
        <v>4</v>
      </c>
      <c r="B270" s="448"/>
      <c r="C270" s="449"/>
      <c r="D270" s="39" t="s">
        <v>5</v>
      </c>
      <c r="E270" s="131">
        <f>E271</f>
        <v>25000</v>
      </c>
      <c r="F270" s="361"/>
      <c r="G270" s="361"/>
    </row>
    <row r="271" spans="1:7" s="120" customFormat="1" ht="25.5" x14ac:dyDescent="0.2">
      <c r="A271" s="453">
        <v>42</v>
      </c>
      <c r="B271" s="454"/>
      <c r="C271" s="455"/>
      <c r="D271" s="39" t="s">
        <v>108</v>
      </c>
      <c r="E271" s="131">
        <v>25000</v>
      </c>
      <c r="F271" s="361"/>
      <c r="G271" s="361"/>
    </row>
    <row r="272" spans="1:7" s="120" customFormat="1" ht="9.75" customHeight="1" x14ac:dyDescent="0.2">
      <c r="A272" s="520" t="s">
        <v>597</v>
      </c>
      <c r="B272" s="521"/>
      <c r="C272" s="521"/>
      <c r="D272" s="522"/>
      <c r="E272" s="473">
        <f t="shared" ref="E272:G272" si="64">E278+E280</f>
        <v>14500</v>
      </c>
      <c r="F272" s="473">
        <f t="shared" si="64"/>
        <v>253000</v>
      </c>
      <c r="G272" s="473">
        <f t="shared" si="64"/>
        <v>3000</v>
      </c>
    </row>
    <row r="273" spans="1:7" s="120" customFormat="1" ht="12.75" customHeight="1" x14ac:dyDescent="0.2">
      <c r="A273" s="523"/>
      <c r="B273" s="524"/>
      <c r="C273" s="524"/>
      <c r="D273" s="525"/>
      <c r="E273" s="474"/>
      <c r="F273" s="474"/>
      <c r="G273" s="474"/>
    </row>
    <row r="274" spans="1:7" s="120" customFormat="1" ht="8.25" customHeight="1" x14ac:dyDescent="0.2">
      <c r="A274" s="526"/>
      <c r="B274" s="527"/>
      <c r="C274" s="527"/>
      <c r="D274" s="528"/>
      <c r="E274" s="475"/>
      <c r="F274" s="475"/>
      <c r="G274" s="475"/>
    </row>
    <row r="275" spans="1:7" s="120" customFormat="1" ht="12.75" x14ac:dyDescent="0.2">
      <c r="A275" s="346" t="s">
        <v>431</v>
      </c>
      <c r="B275" s="347"/>
      <c r="C275" s="347"/>
      <c r="D275" s="348"/>
      <c r="E275" s="352"/>
      <c r="F275" s="352"/>
      <c r="G275" s="352"/>
    </row>
    <row r="276" spans="1:7" s="120" customFormat="1" ht="12.75" x14ac:dyDescent="0.2">
      <c r="A276" s="450" t="s">
        <v>888</v>
      </c>
      <c r="B276" s="451"/>
      <c r="C276" s="451"/>
      <c r="D276" s="451"/>
      <c r="E276" s="341">
        <v>2500</v>
      </c>
      <c r="F276" s="341">
        <v>17000</v>
      </c>
      <c r="G276" s="341">
        <v>3000</v>
      </c>
    </row>
    <row r="277" spans="1:7" s="120" customFormat="1" ht="12.75" x14ac:dyDescent="0.2">
      <c r="A277" s="498" t="s">
        <v>862</v>
      </c>
      <c r="B277" s="499"/>
      <c r="C277" s="499"/>
      <c r="D277" s="500"/>
      <c r="E277" s="341">
        <v>12000</v>
      </c>
      <c r="F277" s="341">
        <f>250000-14000</f>
        <v>236000</v>
      </c>
      <c r="G277" s="341"/>
    </row>
    <row r="278" spans="1:7" s="120" customFormat="1" ht="12.75" x14ac:dyDescent="0.2">
      <c r="A278" s="447">
        <v>3</v>
      </c>
      <c r="B278" s="448"/>
      <c r="C278" s="449"/>
      <c r="D278" s="39" t="s">
        <v>18</v>
      </c>
      <c r="E278" s="136">
        <f>E279</f>
        <v>2500</v>
      </c>
      <c r="F278" s="136">
        <f t="shared" ref="F278:G278" si="65">F279</f>
        <v>3000</v>
      </c>
      <c r="G278" s="136">
        <f t="shared" si="65"/>
        <v>3000</v>
      </c>
    </row>
    <row r="279" spans="1:7" s="120" customFormat="1" ht="12.75" x14ac:dyDescent="0.2">
      <c r="A279" s="453">
        <v>32</v>
      </c>
      <c r="B279" s="454"/>
      <c r="C279" s="455"/>
      <c r="D279" s="39" t="s">
        <v>32</v>
      </c>
      <c r="E279" s="326">
        <v>2500</v>
      </c>
      <c r="F279" s="326">
        <v>3000</v>
      </c>
      <c r="G279" s="326">
        <v>3000</v>
      </c>
    </row>
    <row r="280" spans="1:7" s="120" customFormat="1" ht="25.5" x14ac:dyDescent="0.2">
      <c r="A280" s="447">
        <v>4</v>
      </c>
      <c r="B280" s="448"/>
      <c r="C280" s="449"/>
      <c r="D280" s="39" t="s">
        <v>5</v>
      </c>
      <c r="E280" s="326">
        <f>E281</f>
        <v>12000</v>
      </c>
      <c r="F280" s="326">
        <f t="shared" ref="F280:G280" si="66">F281</f>
        <v>250000</v>
      </c>
      <c r="G280" s="326">
        <f t="shared" si="66"/>
        <v>0</v>
      </c>
    </row>
    <row r="281" spans="1:7" s="120" customFormat="1" ht="25.5" x14ac:dyDescent="0.2">
      <c r="A281" s="128"/>
      <c r="B281" s="129"/>
      <c r="C281" s="129">
        <v>45</v>
      </c>
      <c r="D281" s="130" t="s">
        <v>117</v>
      </c>
      <c r="E281" s="326">
        <v>12000</v>
      </c>
      <c r="F281" s="326">
        <v>250000</v>
      </c>
      <c r="G281" s="326"/>
    </row>
    <row r="282" spans="1:7" s="120" customFormat="1" ht="26.25" customHeight="1" x14ac:dyDescent="0.2">
      <c r="A282" s="458" t="s">
        <v>851</v>
      </c>
      <c r="B282" s="459"/>
      <c r="C282" s="459"/>
      <c r="D282" s="460"/>
      <c r="E282" s="375">
        <f>E285</f>
        <v>8000</v>
      </c>
      <c r="F282" s="375">
        <f t="shared" ref="F282:G282" si="67">F285</f>
        <v>11000</v>
      </c>
      <c r="G282" s="375">
        <f t="shared" si="67"/>
        <v>59000</v>
      </c>
    </row>
    <row r="283" spans="1:7" s="120" customFormat="1" ht="12.75" x14ac:dyDescent="0.2">
      <c r="A283" s="346" t="s">
        <v>431</v>
      </c>
      <c r="B283" s="347"/>
      <c r="C283" s="347"/>
      <c r="D283" s="348"/>
      <c r="E283" s="352"/>
      <c r="F283" s="352"/>
      <c r="G283" s="352"/>
    </row>
    <row r="284" spans="1:7" s="120" customFormat="1" ht="12.75" x14ac:dyDescent="0.2">
      <c r="A284" s="450" t="s">
        <v>888</v>
      </c>
      <c r="B284" s="451"/>
      <c r="C284" s="451"/>
      <c r="D284" s="451"/>
      <c r="E284" s="341">
        <v>8000</v>
      </c>
      <c r="F284" s="341">
        <v>11000</v>
      </c>
      <c r="G284" s="341">
        <v>59000</v>
      </c>
    </row>
    <row r="285" spans="1:7" s="120" customFormat="1" ht="12.75" x14ac:dyDescent="0.2">
      <c r="A285" s="447">
        <v>3</v>
      </c>
      <c r="B285" s="448"/>
      <c r="C285" s="449"/>
      <c r="D285" s="39" t="s">
        <v>18</v>
      </c>
      <c r="E285" s="326">
        <f>E286</f>
        <v>8000</v>
      </c>
      <c r="F285" s="326">
        <f>F286</f>
        <v>11000</v>
      </c>
      <c r="G285" s="326">
        <f>G286</f>
        <v>59000</v>
      </c>
    </row>
    <row r="286" spans="1:7" s="120" customFormat="1" ht="12.75" x14ac:dyDescent="0.2">
      <c r="A286" s="453">
        <v>32</v>
      </c>
      <c r="B286" s="454"/>
      <c r="C286" s="455"/>
      <c r="D286" s="39" t="s">
        <v>32</v>
      </c>
      <c r="E286" s="326">
        <v>8000</v>
      </c>
      <c r="F286" s="326">
        <v>11000</v>
      </c>
      <c r="G286" s="326">
        <v>59000</v>
      </c>
    </row>
    <row r="287" spans="1:7" s="120" customFormat="1" ht="25.5" customHeight="1" x14ac:dyDescent="0.2">
      <c r="A287" s="464" t="s">
        <v>857</v>
      </c>
      <c r="B287" s="465"/>
      <c r="C287" s="465"/>
      <c r="D287" s="466"/>
      <c r="E287" s="378">
        <f>E290</f>
        <v>30000</v>
      </c>
      <c r="F287" s="378">
        <f t="shared" ref="F287:G287" si="68">F290</f>
        <v>0</v>
      </c>
      <c r="G287" s="378">
        <f t="shared" si="68"/>
        <v>0</v>
      </c>
    </row>
    <row r="288" spans="1:7" s="120" customFormat="1" ht="12.75" x14ac:dyDescent="0.2">
      <c r="A288" s="346" t="s">
        <v>431</v>
      </c>
      <c r="B288" s="347"/>
      <c r="C288" s="347"/>
      <c r="D288" s="348"/>
      <c r="E288" s="352"/>
      <c r="F288" s="352"/>
      <c r="G288" s="352"/>
    </row>
    <row r="289" spans="1:7" s="120" customFormat="1" ht="12.75" x14ac:dyDescent="0.2">
      <c r="A289" s="498" t="s">
        <v>862</v>
      </c>
      <c r="B289" s="499"/>
      <c r="C289" s="499"/>
      <c r="D289" s="500"/>
      <c r="E289" s="341">
        <v>30000</v>
      </c>
      <c r="F289" s="341"/>
      <c r="G289" s="341"/>
    </row>
    <row r="290" spans="1:7" s="120" customFormat="1" ht="25.5" x14ac:dyDescent="0.2">
      <c r="A290" s="447">
        <v>4</v>
      </c>
      <c r="B290" s="448"/>
      <c r="C290" s="449"/>
      <c r="D290" s="39" t="s">
        <v>5</v>
      </c>
      <c r="E290" s="326">
        <f>E291</f>
        <v>30000</v>
      </c>
      <c r="F290" s="326">
        <f t="shared" ref="F290:G290" si="69">F291</f>
        <v>0</v>
      </c>
      <c r="G290" s="326">
        <f t="shared" si="69"/>
        <v>0</v>
      </c>
    </row>
    <row r="291" spans="1:7" s="120" customFormat="1" ht="25.5" x14ac:dyDescent="0.2">
      <c r="A291" s="453">
        <v>45</v>
      </c>
      <c r="B291" s="454"/>
      <c r="C291" s="455"/>
      <c r="D291" s="362" t="s">
        <v>117</v>
      </c>
      <c r="E291" s="326">
        <v>30000</v>
      </c>
      <c r="F291" s="326"/>
      <c r="G291" s="326"/>
    </row>
    <row r="292" spans="1:7" s="120" customFormat="1" ht="25.5" customHeight="1" x14ac:dyDescent="0.2">
      <c r="A292" s="464" t="s">
        <v>598</v>
      </c>
      <c r="B292" s="465"/>
      <c r="C292" s="465"/>
      <c r="D292" s="466"/>
      <c r="E292" s="375">
        <f>E297</f>
        <v>0</v>
      </c>
      <c r="F292" s="375">
        <f t="shared" ref="F292:G292" si="70">F297</f>
        <v>37000</v>
      </c>
      <c r="G292" s="375">
        <f t="shared" si="70"/>
        <v>196000</v>
      </c>
    </row>
    <row r="293" spans="1:7" s="120" customFormat="1" ht="12.75" x14ac:dyDescent="0.2">
      <c r="A293" s="346" t="s">
        <v>431</v>
      </c>
      <c r="B293" s="347"/>
      <c r="C293" s="347"/>
      <c r="D293" s="348"/>
      <c r="E293" s="348"/>
      <c r="F293" s="348"/>
      <c r="G293" s="348"/>
    </row>
    <row r="294" spans="1:7" s="120" customFormat="1" ht="12.75" x14ac:dyDescent="0.2">
      <c r="A294" s="450" t="s">
        <v>888</v>
      </c>
      <c r="B294" s="451"/>
      <c r="C294" s="451"/>
      <c r="D294" s="451"/>
      <c r="E294" s="395"/>
      <c r="F294" s="46">
        <v>25840</v>
      </c>
      <c r="G294" s="396"/>
    </row>
    <row r="295" spans="1:7" s="120" customFormat="1" ht="12.75" x14ac:dyDescent="0.2">
      <c r="A295" s="450" t="s">
        <v>867</v>
      </c>
      <c r="B295" s="451"/>
      <c r="C295" s="451"/>
      <c r="D295" s="452"/>
      <c r="E295" s="341"/>
      <c r="F295" s="341"/>
      <c r="G295" s="341">
        <v>151354</v>
      </c>
    </row>
    <row r="296" spans="1:7" s="120" customFormat="1" ht="12.75" x14ac:dyDescent="0.2">
      <c r="A296" s="498" t="s">
        <v>862</v>
      </c>
      <c r="B296" s="499"/>
      <c r="C296" s="499"/>
      <c r="D296" s="500"/>
      <c r="E296" s="341"/>
      <c r="F296" s="341">
        <v>11160</v>
      </c>
      <c r="G296" s="341">
        <v>44646</v>
      </c>
    </row>
    <row r="297" spans="1:7" s="120" customFormat="1" ht="25.5" x14ac:dyDescent="0.2">
      <c r="A297" s="447">
        <v>4</v>
      </c>
      <c r="B297" s="448"/>
      <c r="C297" s="449"/>
      <c r="D297" s="39" t="s">
        <v>5</v>
      </c>
      <c r="E297" s="326">
        <f>E298</f>
        <v>0</v>
      </c>
      <c r="F297" s="326">
        <f t="shared" ref="F297:G297" si="71">F298</f>
        <v>37000</v>
      </c>
      <c r="G297" s="326">
        <f t="shared" si="71"/>
        <v>196000</v>
      </c>
    </row>
    <row r="298" spans="1:7" s="120" customFormat="1" ht="25.5" x14ac:dyDescent="0.2">
      <c r="A298" s="453">
        <v>45</v>
      </c>
      <c r="B298" s="454"/>
      <c r="C298" s="455"/>
      <c r="D298" s="362" t="s">
        <v>117</v>
      </c>
      <c r="E298" s="326"/>
      <c r="F298" s="326">
        <v>37000</v>
      </c>
      <c r="G298" s="326">
        <v>196000</v>
      </c>
    </row>
    <row r="299" spans="1:7" s="120" customFormat="1" ht="12.75" x14ac:dyDescent="0.2">
      <c r="A299" s="487" t="s">
        <v>417</v>
      </c>
      <c r="B299" s="488"/>
      <c r="C299" s="488"/>
      <c r="D299" s="489"/>
      <c r="E299" s="52">
        <f t="shared" ref="E299:G299" si="72">E300</f>
        <v>104000</v>
      </c>
      <c r="F299" s="52">
        <f t="shared" si="72"/>
        <v>195000</v>
      </c>
      <c r="G299" s="52">
        <f t="shared" si="72"/>
        <v>76000</v>
      </c>
    </row>
    <row r="300" spans="1:7" s="120" customFormat="1" ht="24.75" customHeight="1" x14ac:dyDescent="0.2">
      <c r="A300" s="458" t="s">
        <v>599</v>
      </c>
      <c r="B300" s="459"/>
      <c r="C300" s="459"/>
      <c r="D300" s="460"/>
      <c r="E300" s="375">
        <f>E304+E306</f>
        <v>104000</v>
      </c>
      <c r="F300" s="375">
        <f t="shared" ref="F300:G300" si="73">F304+F306</f>
        <v>195000</v>
      </c>
      <c r="G300" s="375">
        <f t="shared" si="73"/>
        <v>76000</v>
      </c>
    </row>
    <row r="301" spans="1:7" s="120" customFormat="1" ht="12.75" x14ac:dyDescent="0.2">
      <c r="A301" s="346" t="s">
        <v>431</v>
      </c>
      <c r="B301" s="347"/>
      <c r="C301" s="347"/>
      <c r="D301" s="348"/>
      <c r="E301" s="352"/>
      <c r="F301" s="352"/>
      <c r="G301" s="352"/>
    </row>
    <row r="302" spans="1:7" s="120" customFormat="1" ht="12.75" x14ac:dyDescent="0.2">
      <c r="A302" s="450" t="s">
        <v>888</v>
      </c>
      <c r="B302" s="451"/>
      <c r="C302" s="451"/>
      <c r="D302" s="451"/>
      <c r="E302" s="341">
        <v>4000</v>
      </c>
      <c r="F302" s="341">
        <v>25000</v>
      </c>
      <c r="G302" s="341">
        <v>1000</v>
      </c>
    </row>
    <row r="303" spans="1:7" s="120" customFormat="1" ht="12.75" x14ac:dyDescent="0.2">
      <c r="A303" s="498" t="s">
        <v>862</v>
      </c>
      <c r="B303" s="499"/>
      <c r="C303" s="499"/>
      <c r="D303" s="500"/>
      <c r="E303" s="341">
        <v>100000</v>
      </c>
      <c r="F303" s="341">
        <v>170000</v>
      </c>
      <c r="G303" s="341">
        <f>65000+10000</f>
        <v>75000</v>
      </c>
    </row>
    <row r="304" spans="1:7" s="120" customFormat="1" ht="25.5" x14ac:dyDescent="0.2">
      <c r="A304" s="447">
        <v>4</v>
      </c>
      <c r="B304" s="448"/>
      <c r="C304" s="449"/>
      <c r="D304" s="39" t="s">
        <v>5</v>
      </c>
      <c r="E304" s="326">
        <f>E305</f>
        <v>100000</v>
      </c>
      <c r="F304" s="326">
        <f>F305</f>
        <v>167000</v>
      </c>
      <c r="G304" s="326">
        <f t="shared" ref="G304" si="74">G305</f>
        <v>65000</v>
      </c>
    </row>
    <row r="305" spans="1:7" s="120" customFormat="1" ht="25.5" x14ac:dyDescent="0.2">
      <c r="A305" s="453">
        <v>42</v>
      </c>
      <c r="B305" s="454"/>
      <c r="C305" s="455"/>
      <c r="D305" s="39" t="s">
        <v>108</v>
      </c>
      <c r="E305" s="326">
        <v>100000</v>
      </c>
      <c r="F305" s="326">
        <v>167000</v>
      </c>
      <c r="G305" s="326">
        <v>65000</v>
      </c>
    </row>
    <row r="306" spans="1:7" s="120" customFormat="1" ht="12.75" x14ac:dyDescent="0.2">
      <c r="A306" s="447">
        <v>3</v>
      </c>
      <c r="B306" s="448"/>
      <c r="C306" s="449"/>
      <c r="D306" s="39" t="s">
        <v>18</v>
      </c>
      <c r="E306" s="326">
        <f>E307+E308</f>
        <v>4000</v>
      </c>
      <c r="F306" s="326">
        <f>F307+F308</f>
        <v>28000</v>
      </c>
      <c r="G306" s="326">
        <f>G307+G308</f>
        <v>11000</v>
      </c>
    </row>
    <row r="307" spans="1:7" s="120" customFormat="1" ht="12.75" x14ac:dyDescent="0.2">
      <c r="A307" s="453">
        <v>32</v>
      </c>
      <c r="B307" s="454"/>
      <c r="C307" s="455"/>
      <c r="D307" s="39" t="s">
        <v>32</v>
      </c>
      <c r="E307" s="326">
        <v>2000</v>
      </c>
      <c r="F307" s="326">
        <v>25000</v>
      </c>
      <c r="G307" s="326">
        <v>10000</v>
      </c>
    </row>
    <row r="308" spans="1:7" s="120" customFormat="1" ht="12.75" x14ac:dyDescent="0.2">
      <c r="A308" s="151"/>
      <c r="B308" s="152"/>
      <c r="C308" s="153">
        <v>38</v>
      </c>
      <c r="D308" s="39" t="s">
        <v>50</v>
      </c>
      <c r="E308" s="326">
        <v>2000</v>
      </c>
      <c r="F308" s="326">
        <v>3000</v>
      </c>
      <c r="G308" s="326">
        <v>1000</v>
      </c>
    </row>
    <row r="309" spans="1:7" s="120" customFormat="1" ht="12.75" x14ac:dyDescent="0.2">
      <c r="A309" s="337" t="s">
        <v>86</v>
      </c>
      <c r="B309" s="337"/>
      <c r="C309" s="337"/>
      <c r="D309" s="337"/>
      <c r="E309" s="331">
        <f>E313+E325+E339+E346</f>
        <v>370766</v>
      </c>
      <c r="F309" s="331">
        <f>F313+F325+F339+F346</f>
        <v>367080</v>
      </c>
      <c r="G309" s="331">
        <f>G313+G325+G339+G346</f>
        <v>370250</v>
      </c>
    </row>
    <row r="310" spans="1:7" s="120" customFormat="1" ht="12.75" x14ac:dyDescent="0.2">
      <c r="A310" s="160" t="s">
        <v>890</v>
      </c>
      <c r="B310" s="161"/>
      <c r="C310" s="161"/>
      <c r="D310" s="398"/>
      <c r="E310" s="72">
        <f>E329+E336+E343+E349</f>
        <v>23000</v>
      </c>
      <c r="F310" s="72">
        <f>F329+F336+F343+F349</f>
        <v>23000</v>
      </c>
      <c r="G310" s="72">
        <f>G329+G336+G343+G349</f>
        <v>23000</v>
      </c>
    </row>
    <row r="311" spans="1:7" s="120" customFormat="1" ht="12.75" x14ac:dyDescent="0.2">
      <c r="A311" s="160" t="s">
        <v>893</v>
      </c>
      <c r="B311" s="161"/>
      <c r="C311" s="161"/>
      <c r="D311" s="398"/>
      <c r="E311" s="72">
        <f>E317</f>
        <v>43508</v>
      </c>
      <c r="F311" s="72">
        <f t="shared" ref="F311:G311" si="75">F317</f>
        <v>44200</v>
      </c>
      <c r="G311" s="72">
        <f t="shared" si="75"/>
        <v>42700</v>
      </c>
    </row>
    <row r="312" spans="1:7" s="120" customFormat="1" ht="12.75" x14ac:dyDescent="0.2">
      <c r="A312" s="160" t="s">
        <v>891</v>
      </c>
      <c r="B312" s="161"/>
      <c r="C312" s="161"/>
      <c r="D312" s="398"/>
      <c r="E312" s="72">
        <f>E318+E330</f>
        <v>304258</v>
      </c>
      <c r="F312" s="72">
        <f>F318+F330</f>
        <v>299880</v>
      </c>
      <c r="G312" s="72">
        <f>G318+G330</f>
        <v>304550</v>
      </c>
    </row>
    <row r="313" spans="1:7" s="120" customFormat="1" ht="12.75" x14ac:dyDescent="0.2">
      <c r="A313" s="345" t="s">
        <v>418</v>
      </c>
      <c r="B313" s="345"/>
      <c r="C313" s="345"/>
      <c r="D313" s="345"/>
      <c r="E313" s="344">
        <f t="shared" ref="E313:G313" si="76">E314</f>
        <v>345966</v>
      </c>
      <c r="F313" s="344">
        <f t="shared" si="76"/>
        <v>344080</v>
      </c>
      <c r="G313" s="344">
        <f t="shared" si="76"/>
        <v>347250</v>
      </c>
    </row>
    <row r="314" spans="1:7" s="120" customFormat="1" ht="12.75" x14ac:dyDescent="0.2">
      <c r="A314" s="368" t="s">
        <v>600</v>
      </c>
      <c r="B314" s="369"/>
      <c r="C314" s="369"/>
      <c r="D314" s="369"/>
      <c r="E314" s="370">
        <f t="shared" ref="E314:G314" si="77">E319+E323</f>
        <v>345966</v>
      </c>
      <c r="F314" s="370">
        <f t="shared" si="77"/>
        <v>344080</v>
      </c>
      <c r="G314" s="370">
        <f t="shared" si="77"/>
        <v>347250</v>
      </c>
    </row>
    <row r="315" spans="1:7" s="120" customFormat="1" ht="12.75" x14ac:dyDescent="0.2">
      <c r="A315" s="363" t="s">
        <v>852</v>
      </c>
      <c r="B315" s="364"/>
      <c r="C315" s="364"/>
      <c r="D315" s="364"/>
      <c r="E315" s="365"/>
      <c r="F315" s="365"/>
      <c r="G315" s="365"/>
    </row>
    <row r="316" spans="1:7" s="120" customFormat="1" ht="12.75" x14ac:dyDescent="0.2">
      <c r="A316" s="346" t="s">
        <v>442</v>
      </c>
      <c r="B316" s="347"/>
      <c r="C316" s="347"/>
      <c r="D316" s="348"/>
      <c r="E316" s="352"/>
      <c r="F316" s="352"/>
      <c r="G316" s="352"/>
    </row>
    <row r="317" spans="1:7" s="120" customFormat="1" ht="12.75" x14ac:dyDescent="0.2">
      <c r="A317" s="42" t="s">
        <v>886</v>
      </c>
      <c r="B317" s="42"/>
      <c r="C317" s="42"/>
      <c r="D317" s="42"/>
      <c r="E317" s="341">
        <v>43508</v>
      </c>
      <c r="F317" s="341">
        <v>44200</v>
      </c>
      <c r="G317" s="341">
        <v>42700</v>
      </c>
    </row>
    <row r="318" spans="1:7" s="120" customFormat="1" ht="12.75" x14ac:dyDescent="0.2">
      <c r="A318" s="498" t="s">
        <v>862</v>
      </c>
      <c r="B318" s="499"/>
      <c r="C318" s="499"/>
      <c r="D318" s="500"/>
      <c r="E318" s="341">
        <f>100000+119+202339</f>
        <v>302458</v>
      </c>
      <c r="F318" s="341">
        <v>299880</v>
      </c>
      <c r="G318" s="341">
        <v>304550</v>
      </c>
    </row>
    <row r="319" spans="1:7" s="120" customFormat="1" ht="12.75" x14ac:dyDescent="0.2">
      <c r="A319" s="447">
        <v>3</v>
      </c>
      <c r="B319" s="448"/>
      <c r="C319" s="449"/>
      <c r="D319" s="39" t="s">
        <v>18</v>
      </c>
      <c r="E319" s="136">
        <f>E320+E321+E322</f>
        <v>341466</v>
      </c>
      <c r="F319" s="136">
        <f t="shared" ref="F319:G319" si="78">F320+F321+F322</f>
        <v>342900</v>
      </c>
      <c r="G319" s="136">
        <f t="shared" si="78"/>
        <v>344350</v>
      </c>
    </row>
    <row r="320" spans="1:7" s="120" customFormat="1" ht="12.75" x14ac:dyDescent="0.2">
      <c r="A320" s="453">
        <v>31</v>
      </c>
      <c r="B320" s="454"/>
      <c r="C320" s="455"/>
      <c r="D320" s="39" t="s">
        <v>21</v>
      </c>
      <c r="E320" s="326">
        <v>273940</v>
      </c>
      <c r="F320" s="326">
        <v>274100</v>
      </c>
      <c r="G320" s="326">
        <v>275000</v>
      </c>
    </row>
    <row r="321" spans="1:7" s="120" customFormat="1" ht="12.75" x14ac:dyDescent="0.2">
      <c r="A321" s="453">
        <v>32</v>
      </c>
      <c r="B321" s="454"/>
      <c r="C321" s="455"/>
      <c r="D321" s="39" t="s">
        <v>32</v>
      </c>
      <c r="E321" s="326">
        <v>66566</v>
      </c>
      <c r="F321" s="326">
        <v>67800</v>
      </c>
      <c r="G321" s="326">
        <v>68350</v>
      </c>
    </row>
    <row r="322" spans="1:7" s="120" customFormat="1" ht="12.75" x14ac:dyDescent="0.2">
      <c r="A322" s="453">
        <v>34</v>
      </c>
      <c r="B322" s="454"/>
      <c r="C322" s="455"/>
      <c r="D322" s="39" t="s">
        <v>118</v>
      </c>
      <c r="E322" s="326">
        <v>960</v>
      </c>
      <c r="F322" s="326">
        <v>1000</v>
      </c>
      <c r="G322" s="326">
        <v>1000</v>
      </c>
    </row>
    <row r="323" spans="1:7" s="120" customFormat="1" ht="25.5" x14ac:dyDescent="0.2">
      <c r="A323" s="447">
        <v>4</v>
      </c>
      <c r="B323" s="448"/>
      <c r="C323" s="449"/>
      <c r="D323" s="39" t="s">
        <v>5</v>
      </c>
      <c r="E323" s="136">
        <f>E324</f>
        <v>4500</v>
      </c>
      <c r="F323" s="136">
        <f t="shared" ref="F323" si="79">F324</f>
        <v>1180</v>
      </c>
      <c r="G323" s="136">
        <f>G324</f>
        <v>2900</v>
      </c>
    </row>
    <row r="324" spans="1:7" s="120" customFormat="1" ht="25.5" x14ac:dyDescent="0.2">
      <c r="A324" s="453">
        <v>42</v>
      </c>
      <c r="B324" s="454"/>
      <c r="C324" s="455"/>
      <c r="D324" s="39" t="s">
        <v>108</v>
      </c>
      <c r="E324" s="326">
        <v>4500</v>
      </c>
      <c r="F324" s="326">
        <v>1180</v>
      </c>
      <c r="G324" s="326">
        <v>2900</v>
      </c>
    </row>
    <row r="325" spans="1:7" s="120" customFormat="1" ht="12.75" x14ac:dyDescent="0.2">
      <c r="A325" s="345" t="s">
        <v>419</v>
      </c>
      <c r="B325" s="345"/>
      <c r="C325" s="345"/>
      <c r="D325" s="345"/>
      <c r="E325" s="344">
        <f>E326+E334</f>
        <v>11800</v>
      </c>
      <c r="F325" s="344">
        <f t="shared" ref="F325:G325" si="80">F326+F334</f>
        <v>10000</v>
      </c>
      <c r="G325" s="344">
        <f t="shared" si="80"/>
        <v>10000</v>
      </c>
    </row>
    <row r="326" spans="1:7" s="120" customFormat="1" ht="12.75" x14ac:dyDescent="0.2">
      <c r="A326" s="467" t="s">
        <v>601</v>
      </c>
      <c r="B326" s="468"/>
      <c r="C326" s="468"/>
      <c r="D326" s="468"/>
      <c r="E326" s="540">
        <f t="shared" ref="E326:G326" si="81">E331</f>
        <v>7800</v>
      </c>
      <c r="F326" s="540">
        <f t="shared" si="81"/>
        <v>6000</v>
      </c>
      <c r="G326" s="540">
        <f t="shared" si="81"/>
        <v>6000</v>
      </c>
    </row>
    <row r="327" spans="1:7" s="120" customFormat="1" ht="12.75" x14ac:dyDescent="0.2">
      <c r="A327" s="478" t="s">
        <v>89</v>
      </c>
      <c r="B327" s="479"/>
      <c r="C327" s="479"/>
      <c r="D327" s="519"/>
      <c r="E327" s="541"/>
      <c r="F327" s="541"/>
      <c r="G327" s="541"/>
    </row>
    <row r="328" spans="1:7" s="120" customFormat="1" ht="12.75" x14ac:dyDescent="0.2">
      <c r="A328" s="346" t="s">
        <v>443</v>
      </c>
      <c r="B328" s="347"/>
      <c r="C328" s="347"/>
      <c r="D328" s="348"/>
      <c r="E328" s="352"/>
      <c r="F328" s="352"/>
      <c r="G328" s="352"/>
    </row>
    <row r="329" spans="1:7" s="120" customFormat="1" ht="12.75" x14ac:dyDescent="0.2">
      <c r="A329" s="450" t="s">
        <v>888</v>
      </c>
      <c r="B329" s="451"/>
      <c r="C329" s="451"/>
      <c r="D329" s="451"/>
      <c r="E329" s="391">
        <v>6000</v>
      </c>
      <c r="F329" s="391">
        <v>6000</v>
      </c>
      <c r="G329" s="391">
        <v>6000</v>
      </c>
    </row>
    <row r="330" spans="1:7" s="120" customFormat="1" ht="12.75" x14ac:dyDescent="0.2">
      <c r="A330" s="498" t="s">
        <v>862</v>
      </c>
      <c r="B330" s="499"/>
      <c r="C330" s="499"/>
      <c r="D330" s="500"/>
      <c r="E330" s="341">
        <v>1800</v>
      </c>
      <c r="F330" s="341"/>
      <c r="G330" s="341"/>
    </row>
    <row r="331" spans="1:7" s="120" customFormat="1" ht="12.75" x14ac:dyDescent="0.2">
      <c r="A331" s="447">
        <v>3</v>
      </c>
      <c r="B331" s="448"/>
      <c r="C331" s="449"/>
      <c r="D331" s="39" t="s">
        <v>18</v>
      </c>
      <c r="E331" s="136">
        <f>E333+E332</f>
        <v>7800</v>
      </c>
      <c r="F331" s="136">
        <f t="shared" ref="F331:G331" si="82">F333</f>
        <v>6000</v>
      </c>
      <c r="G331" s="136">
        <f t="shared" si="82"/>
        <v>6000</v>
      </c>
    </row>
    <row r="332" spans="1:7" s="120" customFormat="1" ht="12.75" x14ac:dyDescent="0.2">
      <c r="A332" s="453">
        <v>32</v>
      </c>
      <c r="B332" s="454"/>
      <c r="C332" s="455"/>
      <c r="D332" s="39" t="s">
        <v>32</v>
      </c>
      <c r="E332" s="136">
        <v>1800</v>
      </c>
      <c r="F332" s="136"/>
      <c r="G332" s="136"/>
    </row>
    <row r="333" spans="1:7" s="120" customFormat="1" ht="25.5" x14ac:dyDescent="0.2">
      <c r="A333" s="453">
        <v>36</v>
      </c>
      <c r="B333" s="454"/>
      <c r="C333" s="455"/>
      <c r="D333" s="39" t="s">
        <v>48</v>
      </c>
      <c r="E333" s="326">
        <v>6000</v>
      </c>
      <c r="F333" s="326">
        <v>6000</v>
      </c>
      <c r="G333" s="326">
        <v>6000</v>
      </c>
    </row>
    <row r="334" spans="1:7" s="120" customFormat="1" ht="26.25" customHeight="1" x14ac:dyDescent="0.2">
      <c r="A334" s="446" t="s">
        <v>602</v>
      </c>
      <c r="B334" s="446"/>
      <c r="C334" s="446"/>
      <c r="D334" s="446"/>
      <c r="E334" s="375">
        <f>E337</f>
        <v>4000</v>
      </c>
      <c r="F334" s="375">
        <f t="shared" ref="F334:G334" si="83">F337</f>
        <v>4000</v>
      </c>
      <c r="G334" s="375">
        <f t="shared" si="83"/>
        <v>4000</v>
      </c>
    </row>
    <row r="335" spans="1:7" s="120" customFormat="1" ht="12.75" x14ac:dyDescent="0.2">
      <c r="A335" s="346" t="s">
        <v>443</v>
      </c>
      <c r="B335" s="347"/>
      <c r="C335" s="347"/>
      <c r="D335" s="348"/>
      <c r="E335" s="352"/>
      <c r="F335" s="352"/>
      <c r="G335" s="352"/>
    </row>
    <row r="336" spans="1:7" s="120" customFormat="1" ht="12.75" x14ac:dyDescent="0.2">
      <c r="A336" s="450" t="s">
        <v>888</v>
      </c>
      <c r="B336" s="451"/>
      <c r="C336" s="451"/>
      <c r="D336" s="451"/>
      <c r="E336" s="341">
        <v>4000</v>
      </c>
      <c r="F336" s="341">
        <v>4000</v>
      </c>
      <c r="G336" s="341">
        <v>4000</v>
      </c>
    </row>
    <row r="337" spans="1:7" s="120" customFormat="1" ht="12.75" x14ac:dyDescent="0.2">
      <c r="A337" s="447">
        <v>3</v>
      </c>
      <c r="B337" s="448"/>
      <c r="C337" s="449"/>
      <c r="D337" s="39" t="s">
        <v>18</v>
      </c>
      <c r="E337" s="326">
        <f>E338</f>
        <v>4000</v>
      </c>
      <c r="F337" s="326">
        <f t="shared" ref="F337:G337" si="84">F338</f>
        <v>4000</v>
      </c>
      <c r="G337" s="326">
        <f t="shared" si="84"/>
        <v>4000</v>
      </c>
    </row>
    <row r="338" spans="1:7" s="120" customFormat="1" ht="38.25" x14ac:dyDescent="0.2">
      <c r="A338" s="453">
        <v>37</v>
      </c>
      <c r="B338" s="454"/>
      <c r="C338" s="455"/>
      <c r="D338" s="39" t="s">
        <v>49</v>
      </c>
      <c r="E338" s="326">
        <v>4000</v>
      </c>
      <c r="F338" s="326">
        <v>4000</v>
      </c>
      <c r="G338" s="326">
        <v>4000</v>
      </c>
    </row>
    <row r="339" spans="1:7" s="120" customFormat="1" ht="12.75" x14ac:dyDescent="0.2">
      <c r="A339" s="501" t="s">
        <v>420</v>
      </c>
      <c r="B339" s="502"/>
      <c r="C339" s="502"/>
      <c r="D339" s="544"/>
      <c r="E339" s="344">
        <f t="shared" ref="E339:G339" si="85">E340</f>
        <v>3000</v>
      </c>
      <c r="F339" s="344">
        <f t="shared" si="85"/>
        <v>3000</v>
      </c>
      <c r="G339" s="344">
        <f t="shared" si="85"/>
        <v>3000</v>
      </c>
    </row>
    <row r="340" spans="1:7" s="120" customFormat="1" ht="12.75" x14ac:dyDescent="0.2">
      <c r="A340" s="467" t="s">
        <v>603</v>
      </c>
      <c r="B340" s="468"/>
      <c r="C340" s="468"/>
      <c r="D340" s="545"/>
      <c r="E340" s="540">
        <f t="shared" ref="E340:G340" si="86">E344</f>
        <v>3000</v>
      </c>
      <c r="F340" s="540">
        <f t="shared" si="86"/>
        <v>3000</v>
      </c>
      <c r="G340" s="540">
        <f t="shared" si="86"/>
        <v>3000</v>
      </c>
    </row>
    <row r="341" spans="1:7" s="120" customFormat="1" ht="12.75" x14ac:dyDescent="0.2">
      <c r="A341" s="478" t="s">
        <v>90</v>
      </c>
      <c r="B341" s="479"/>
      <c r="C341" s="479"/>
      <c r="D341" s="479"/>
      <c r="E341" s="541"/>
      <c r="F341" s="541"/>
      <c r="G341" s="541"/>
    </row>
    <row r="342" spans="1:7" s="120" customFormat="1" ht="12.75" x14ac:dyDescent="0.2">
      <c r="A342" s="346" t="s">
        <v>570</v>
      </c>
      <c r="B342" s="347"/>
      <c r="C342" s="347"/>
      <c r="D342" s="348"/>
      <c r="E342" s="352"/>
      <c r="F342" s="352"/>
      <c r="G342" s="352"/>
    </row>
    <row r="343" spans="1:7" s="120" customFormat="1" ht="12.75" x14ac:dyDescent="0.2">
      <c r="A343" s="450" t="s">
        <v>888</v>
      </c>
      <c r="B343" s="451"/>
      <c r="C343" s="451"/>
      <c r="D343" s="451"/>
      <c r="E343" s="341">
        <v>3000</v>
      </c>
      <c r="F343" s="341">
        <v>3000</v>
      </c>
      <c r="G343" s="341">
        <v>3000</v>
      </c>
    </row>
    <row r="344" spans="1:7" s="120" customFormat="1" ht="12.75" x14ac:dyDescent="0.2">
      <c r="A344" s="447">
        <v>3</v>
      </c>
      <c r="B344" s="448"/>
      <c r="C344" s="449"/>
      <c r="D344" s="39" t="s">
        <v>18</v>
      </c>
      <c r="E344" s="136">
        <f>E345</f>
        <v>3000</v>
      </c>
      <c r="F344" s="136">
        <f t="shared" ref="F344:G344" si="87">F345</f>
        <v>3000</v>
      </c>
      <c r="G344" s="136">
        <f t="shared" si="87"/>
        <v>3000</v>
      </c>
    </row>
    <row r="345" spans="1:7" s="120" customFormat="1" ht="38.25" x14ac:dyDescent="0.2">
      <c r="A345" s="453">
        <v>37</v>
      </c>
      <c r="B345" s="454"/>
      <c r="C345" s="455"/>
      <c r="D345" s="39" t="s">
        <v>49</v>
      </c>
      <c r="E345" s="326">
        <v>3000</v>
      </c>
      <c r="F345" s="326">
        <v>3000</v>
      </c>
      <c r="G345" s="326">
        <v>3000</v>
      </c>
    </row>
    <row r="346" spans="1:7" s="120" customFormat="1" ht="12.75" x14ac:dyDescent="0.2">
      <c r="A346" s="345" t="s">
        <v>421</v>
      </c>
      <c r="B346" s="345"/>
      <c r="C346" s="345"/>
      <c r="D346" s="345"/>
      <c r="E346" s="344">
        <f t="shared" ref="E346:G346" si="88">E347</f>
        <v>10000</v>
      </c>
      <c r="F346" s="344">
        <f t="shared" si="88"/>
        <v>10000</v>
      </c>
      <c r="G346" s="344">
        <f t="shared" si="88"/>
        <v>10000</v>
      </c>
    </row>
    <row r="347" spans="1:7" s="120" customFormat="1" ht="12.75" x14ac:dyDescent="0.2">
      <c r="A347" s="368" t="s">
        <v>604</v>
      </c>
      <c r="B347" s="369"/>
      <c r="C347" s="369"/>
      <c r="D347" s="369"/>
      <c r="E347" s="370">
        <f t="shared" ref="E347:G347" si="89">E350</f>
        <v>10000</v>
      </c>
      <c r="F347" s="370">
        <f t="shared" si="89"/>
        <v>10000</v>
      </c>
      <c r="G347" s="370">
        <f t="shared" si="89"/>
        <v>10000</v>
      </c>
    </row>
    <row r="348" spans="1:7" s="120" customFormat="1" ht="12.75" x14ac:dyDescent="0.2">
      <c r="A348" s="346" t="s">
        <v>445</v>
      </c>
      <c r="B348" s="347"/>
      <c r="C348" s="347"/>
      <c r="D348" s="348"/>
      <c r="E348" s="352"/>
      <c r="F348" s="352"/>
      <c r="G348" s="352"/>
    </row>
    <row r="349" spans="1:7" s="120" customFormat="1" ht="12.75" x14ac:dyDescent="0.2">
      <c r="A349" s="450" t="s">
        <v>888</v>
      </c>
      <c r="B349" s="451"/>
      <c r="C349" s="451"/>
      <c r="D349" s="451"/>
      <c r="E349" s="341">
        <v>10000</v>
      </c>
      <c r="F349" s="341">
        <v>10000</v>
      </c>
      <c r="G349" s="341">
        <v>10000</v>
      </c>
    </row>
    <row r="350" spans="1:7" s="120" customFormat="1" ht="12.75" x14ac:dyDescent="0.2">
      <c r="A350" s="447">
        <v>3</v>
      </c>
      <c r="B350" s="448"/>
      <c r="C350" s="449"/>
      <c r="D350" s="39" t="s">
        <v>18</v>
      </c>
      <c r="E350" s="136">
        <f>E351</f>
        <v>10000</v>
      </c>
      <c r="F350" s="136">
        <f t="shared" ref="F350:G350" si="90">F351</f>
        <v>10000</v>
      </c>
      <c r="G350" s="136">
        <f t="shared" si="90"/>
        <v>10000</v>
      </c>
    </row>
    <row r="351" spans="1:7" s="120" customFormat="1" ht="38.25" x14ac:dyDescent="0.2">
      <c r="A351" s="453">
        <v>37</v>
      </c>
      <c r="B351" s="454"/>
      <c r="C351" s="455"/>
      <c r="D351" s="39" t="s">
        <v>49</v>
      </c>
      <c r="E351" s="326">
        <v>10000</v>
      </c>
      <c r="F351" s="326">
        <v>10000</v>
      </c>
      <c r="G351" s="326">
        <v>10000</v>
      </c>
    </row>
    <row r="352" spans="1:7" s="120" customFormat="1" ht="12.75" x14ac:dyDescent="0.2">
      <c r="A352" s="53" t="s">
        <v>92</v>
      </c>
      <c r="B352" s="53"/>
      <c r="C352" s="53"/>
      <c r="D352" s="53"/>
      <c r="E352" s="542">
        <f t="shared" ref="E352" si="91">E356+E364</f>
        <v>37500</v>
      </c>
      <c r="F352" s="542">
        <f t="shared" ref="F352:G352" si="92">F356+F364</f>
        <v>37000</v>
      </c>
      <c r="G352" s="542">
        <f t="shared" si="92"/>
        <v>37000</v>
      </c>
    </row>
    <row r="353" spans="1:7" s="120" customFormat="1" ht="12.75" x14ac:dyDescent="0.2">
      <c r="A353" s="503" t="s">
        <v>93</v>
      </c>
      <c r="B353" s="504"/>
      <c r="C353" s="504"/>
      <c r="D353" s="505"/>
      <c r="E353" s="543"/>
      <c r="F353" s="543"/>
      <c r="G353" s="543"/>
    </row>
    <row r="354" spans="1:7" s="120" customFormat="1" ht="12.75" x14ac:dyDescent="0.2">
      <c r="A354" s="160" t="s">
        <v>890</v>
      </c>
      <c r="B354" s="161"/>
      <c r="C354" s="161"/>
      <c r="D354" s="398"/>
      <c r="E354" s="231">
        <f>E359+E367</f>
        <v>23500</v>
      </c>
      <c r="F354" s="231">
        <f t="shared" ref="F354:G354" si="93">F359+F367</f>
        <v>23000</v>
      </c>
      <c r="G354" s="231">
        <f t="shared" si="93"/>
        <v>23000</v>
      </c>
    </row>
    <row r="355" spans="1:7" s="120" customFormat="1" ht="12.75" x14ac:dyDescent="0.2">
      <c r="A355" s="160" t="s">
        <v>891</v>
      </c>
      <c r="B355" s="161"/>
      <c r="C355" s="161"/>
      <c r="D355" s="398"/>
      <c r="E355" s="231">
        <f>E360</f>
        <v>14000</v>
      </c>
      <c r="F355" s="231">
        <f t="shared" ref="F355:G355" si="94">F360</f>
        <v>14000</v>
      </c>
      <c r="G355" s="231">
        <f t="shared" si="94"/>
        <v>14000</v>
      </c>
    </row>
    <row r="356" spans="1:7" s="120" customFormat="1" ht="12.75" x14ac:dyDescent="0.2">
      <c r="A356" s="345" t="s">
        <v>422</v>
      </c>
      <c r="B356" s="345"/>
      <c r="C356" s="345"/>
      <c r="D356" s="345"/>
      <c r="E356" s="344">
        <f t="shared" ref="E356:G356" si="95">E357</f>
        <v>34000</v>
      </c>
      <c r="F356" s="344">
        <f t="shared" si="95"/>
        <v>34000</v>
      </c>
      <c r="G356" s="344">
        <f t="shared" si="95"/>
        <v>34000</v>
      </c>
    </row>
    <row r="357" spans="1:7" s="120" customFormat="1" ht="26.25" customHeight="1" x14ac:dyDescent="0.2">
      <c r="A357" s="458" t="s">
        <v>605</v>
      </c>
      <c r="B357" s="459"/>
      <c r="C357" s="459"/>
      <c r="D357" s="460"/>
      <c r="E357" s="371">
        <f t="shared" ref="E357:G357" si="96">E361</f>
        <v>34000</v>
      </c>
      <c r="F357" s="371">
        <f t="shared" si="96"/>
        <v>34000</v>
      </c>
      <c r="G357" s="371">
        <f t="shared" si="96"/>
        <v>34000</v>
      </c>
    </row>
    <row r="358" spans="1:7" s="120" customFormat="1" ht="12.75" x14ac:dyDescent="0.2">
      <c r="A358" s="346" t="s">
        <v>446</v>
      </c>
      <c r="B358" s="347"/>
      <c r="C358" s="347"/>
      <c r="D358" s="348"/>
      <c r="E358" s="352"/>
      <c r="F358" s="352"/>
      <c r="G358" s="352"/>
    </row>
    <row r="359" spans="1:7" s="120" customFormat="1" ht="12.75" x14ac:dyDescent="0.2">
      <c r="A359" s="450" t="s">
        <v>888</v>
      </c>
      <c r="B359" s="451"/>
      <c r="C359" s="451"/>
      <c r="D359" s="451"/>
      <c r="E359" s="341">
        <v>20000</v>
      </c>
      <c r="F359" s="341">
        <v>20000</v>
      </c>
      <c r="G359" s="341">
        <v>20000</v>
      </c>
    </row>
    <row r="360" spans="1:7" s="120" customFormat="1" ht="12.75" x14ac:dyDescent="0.2">
      <c r="A360" s="498" t="s">
        <v>862</v>
      </c>
      <c r="B360" s="499"/>
      <c r="C360" s="499"/>
      <c r="D360" s="500"/>
      <c r="E360" s="341">
        <v>14000</v>
      </c>
      <c r="F360" s="341">
        <v>14000</v>
      </c>
      <c r="G360" s="341">
        <v>14000</v>
      </c>
    </row>
    <row r="361" spans="1:7" s="120" customFormat="1" ht="12.75" x14ac:dyDescent="0.2">
      <c r="A361" s="447">
        <v>3</v>
      </c>
      <c r="B361" s="448"/>
      <c r="C361" s="449"/>
      <c r="D361" s="39" t="s">
        <v>18</v>
      </c>
      <c r="E361" s="326">
        <f>E362+E363</f>
        <v>34000</v>
      </c>
      <c r="F361" s="326">
        <f t="shared" ref="F361:G361" si="97">F362+F363</f>
        <v>34000</v>
      </c>
      <c r="G361" s="326">
        <f t="shared" si="97"/>
        <v>34000</v>
      </c>
    </row>
    <row r="362" spans="1:7" s="120" customFormat="1" ht="25.5" x14ac:dyDescent="0.2">
      <c r="A362" s="453">
        <v>36</v>
      </c>
      <c r="B362" s="454"/>
      <c r="C362" s="455"/>
      <c r="D362" s="39" t="s">
        <v>48</v>
      </c>
      <c r="E362" s="326">
        <v>14000</v>
      </c>
      <c r="F362" s="326">
        <v>14000</v>
      </c>
      <c r="G362" s="326">
        <v>14000</v>
      </c>
    </row>
    <row r="363" spans="1:7" s="120" customFormat="1" ht="12.75" x14ac:dyDescent="0.2">
      <c r="A363" s="453">
        <v>38</v>
      </c>
      <c r="B363" s="454"/>
      <c r="C363" s="455"/>
      <c r="D363" s="39" t="s">
        <v>50</v>
      </c>
      <c r="E363" s="326">
        <v>20000</v>
      </c>
      <c r="F363" s="326">
        <v>20000</v>
      </c>
      <c r="G363" s="326">
        <v>20000</v>
      </c>
    </row>
    <row r="364" spans="1:7" s="120" customFormat="1" ht="12.75" x14ac:dyDescent="0.2">
      <c r="A364" s="546" t="s">
        <v>423</v>
      </c>
      <c r="B364" s="546"/>
      <c r="C364" s="546"/>
      <c r="D364" s="546"/>
      <c r="E364" s="366">
        <f t="shared" ref="E364:G364" si="98">E365</f>
        <v>3500</v>
      </c>
      <c r="F364" s="366">
        <f>F365</f>
        <v>3000</v>
      </c>
      <c r="G364" s="366">
        <f t="shared" si="98"/>
        <v>3000</v>
      </c>
    </row>
    <row r="365" spans="1:7" s="120" customFormat="1" ht="25.5" customHeight="1" x14ac:dyDescent="0.2">
      <c r="A365" s="458" t="s">
        <v>606</v>
      </c>
      <c r="B365" s="459"/>
      <c r="C365" s="459"/>
      <c r="D365" s="460"/>
      <c r="E365" s="371">
        <f t="shared" ref="E365:G365" si="99">E368</f>
        <v>3500</v>
      </c>
      <c r="F365" s="371">
        <f t="shared" si="99"/>
        <v>3000</v>
      </c>
      <c r="G365" s="371">
        <f t="shared" si="99"/>
        <v>3000</v>
      </c>
    </row>
    <row r="366" spans="1:7" s="120" customFormat="1" ht="12.75" x14ac:dyDescent="0.2">
      <c r="A366" s="346" t="s">
        <v>447</v>
      </c>
      <c r="B366" s="347"/>
      <c r="C366" s="347"/>
      <c r="D366" s="348"/>
      <c r="E366" s="352"/>
      <c r="F366" s="352"/>
      <c r="G366" s="352"/>
    </row>
    <row r="367" spans="1:7" s="120" customFormat="1" ht="12.75" x14ac:dyDescent="0.2">
      <c r="A367" s="450" t="s">
        <v>888</v>
      </c>
      <c r="B367" s="451"/>
      <c r="C367" s="451"/>
      <c r="D367" s="451"/>
      <c r="E367" s="341">
        <v>3500</v>
      </c>
      <c r="F367" s="341">
        <v>3000</v>
      </c>
      <c r="G367" s="341">
        <v>3000</v>
      </c>
    </row>
    <row r="368" spans="1:7" s="120" customFormat="1" ht="12.75" x14ac:dyDescent="0.2">
      <c r="A368" s="447">
        <v>3</v>
      </c>
      <c r="B368" s="448"/>
      <c r="C368" s="449"/>
      <c r="D368" s="39" t="s">
        <v>18</v>
      </c>
      <c r="E368" s="326">
        <f>E369</f>
        <v>3500</v>
      </c>
      <c r="F368" s="326">
        <f t="shared" ref="F368:G368" si="100">F369</f>
        <v>3000</v>
      </c>
      <c r="G368" s="326">
        <f t="shared" si="100"/>
        <v>3000</v>
      </c>
    </row>
    <row r="369" spans="1:7" s="120" customFormat="1" ht="12.75" x14ac:dyDescent="0.2">
      <c r="A369" s="453">
        <v>38</v>
      </c>
      <c r="B369" s="454"/>
      <c r="C369" s="455"/>
      <c r="D369" s="39" t="s">
        <v>50</v>
      </c>
      <c r="E369" s="326">
        <v>3500</v>
      </c>
      <c r="F369" s="326">
        <v>3000</v>
      </c>
      <c r="G369" s="326">
        <v>3000</v>
      </c>
    </row>
    <row r="370" spans="1:7" s="120" customFormat="1" ht="12.75" x14ac:dyDescent="0.2">
      <c r="A370" s="337" t="s">
        <v>96</v>
      </c>
      <c r="B370" s="337"/>
      <c r="C370" s="337"/>
      <c r="D370" s="337"/>
      <c r="E370" s="331">
        <f>E372+E385+E379</f>
        <v>67000</v>
      </c>
      <c r="F370" s="331">
        <f t="shared" ref="F370" si="101">F372+F385+F379</f>
        <v>67000</v>
      </c>
      <c r="G370" s="331">
        <f>G372+G385+G379</f>
        <v>67000</v>
      </c>
    </row>
    <row r="371" spans="1:7" s="120" customFormat="1" ht="12.75" x14ac:dyDescent="0.2">
      <c r="A371" s="160" t="s">
        <v>890</v>
      </c>
      <c r="B371" s="161"/>
      <c r="C371" s="161"/>
      <c r="D371" s="398"/>
      <c r="E371" s="72">
        <f>E376+E382+E388</f>
        <v>67000</v>
      </c>
      <c r="F371" s="72">
        <f t="shared" ref="F371:G371" si="102">F376+F382+F388</f>
        <v>67000</v>
      </c>
      <c r="G371" s="72">
        <f t="shared" si="102"/>
        <v>67000</v>
      </c>
    </row>
    <row r="372" spans="1:7" s="120" customFormat="1" ht="12.75" x14ac:dyDescent="0.2">
      <c r="A372" s="345" t="s">
        <v>424</v>
      </c>
      <c r="B372" s="345"/>
      <c r="C372" s="345"/>
      <c r="D372" s="345"/>
      <c r="E372" s="344">
        <f t="shared" ref="E372:G372" si="103">E373</f>
        <v>57000</v>
      </c>
      <c r="F372" s="344">
        <f t="shared" si="103"/>
        <v>57000</v>
      </c>
      <c r="G372" s="344">
        <f t="shared" si="103"/>
        <v>57000</v>
      </c>
    </row>
    <row r="373" spans="1:7" s="120" customFormat="1" ht="12.75" x14ac:dyDescent="0.2">
      <c r="A373" s="467" t="s">
        <v>607</v>
      </c>
      <c r="B373" s="468"/>
      <c r="C373" s="468"/>
      <c r="D373" s="468"/>
      <c r="E373" s="540">
        <f t="shared" ref="E373:G373" si="104">E377</f>
        <v>57000</v>
      </c>
      <c r="F373" s="540">
        <f t="shared" si="104"/>
        <v>57000</v>
      </c>
      <c r="G373" s="540">
        <f t="shared" si="104"/>
        <v>57000</v>
      </c>
    </row>
    <row r="374" spans="1:7" s="120" customFormat="1" ht="12.75" x14ac:dyDescent="0.2">
      <c r="A374" s="376" t="s">
        <v>98</v>
      </c>
      <c r="B374" s="377"/>
      <c r="C374" s="377"/>
      <c r="D374" s="377"/>
      <c r="E374" s="541"/>
      <c r="F374" s="541"/>
      <c r="G374" s="541"/>
    </row>
    <row r="375" spans="1:7" s="120" customFormat="1" ht="12.75" x14ac:dyDescent="0.2">
      <c r="A375" s="346" t="s">
        <v>448</v>
      </c>
      <c r="B375" s="347"/>
      <c r="C375" s="347"/>
      <c r="D375" s="348"/>
      <c r="E375" s="352"/>
      <c r="F375" s="352"/>
      <c r="G375" s="352"/>
    </row>
    <row r="376" spans="1:7" s="120" customFormat="1" ht="12.75" x14ac:dyDescent="0.2">
      <c r="A376" s="450" t="s">
        <v>888</v>
      </c>
      <c r="B376" s="451"/>
      <c r="C376" s="451"/>
      <c r="D376" s="451"/>
      <c r="E376" s="341">
        <v>57000</v>
      </c>
      <c r="F376" s="341">
        <v>57000</v>
      </c>
      <c r="G376" s="341">
        <v>57000</v>
      </c>
    </row>
    <row r="377" spans="1:7" s="120" customFormat="1" ht="12.75" x14ac:dyDescent="0.2">
      <c r="A377" s="447">
        <v>3</v>
      </c>
      <c r="B377" s="448"/>
      <c r="C377" s="449"/>
      <c r="D377" s="39" t="s">
        <v>18</v>
      </c>
      <c r="E377" s="136">
        <f>E378</f>
        <v>57000</v>
      </c>
      <c r="F377" s="136">
        <f t="shared" ref="F377:G377" si="105">F378</f>
        <v>57000</v>
      </c>
      <c r="G377" s="136">
        <f t="shared" si="105"/>
        <v>57000</v>
      </c>
    </row>
    <row r="378" spans="1:7" s="120" customFormat="1" ht="12.75" x14ac:dyDescent="0.2">
      <c r="A378" s="453">
        <v>38</v>
      </c>
      <c r="B378" s="454"/>
      <c r="C378" s="455"/>
      <c r="D378" s="39" t="s">
        <v>50</v>
      </c>
      <c r="E378" s="326">
        <v>57000</v>
      </c>
      <c r="F378" s="326">
        <v>57000</v>
      </c>
      <c r="G378" s="326">
        <v>57000</v>
      </c>
    </row>
    <row r="379" spans="1:7" s="120" customFormat="1" ht="12.75" x14ac:dyDescent="0.2">
      <c r="A379" s="345" t="s">
        <v>425</v>
      </c>
      <c r="B379" s="345"/>
      <c r="C379" s="345"/>
      <c r="D379" s="345"/>
      <c r="E379" s="344">
        <f t="shared" ref="E379:G379" si="106">E380</f>
        <v>5000</v>
      </c>
      <c r="F379" s="344">
        <f t="shared" si="106"/>
        <v>5000</v>
      </c>
      <c r="G379" s="344">
        <f t="shared" si="106"/>
        <v>5000</v>
      </c>
    </row>
    <row r="380" spans="1:7" s="120" customFormat="1" ht="12.75" x14ac:dyDescent="0.2">
      <c r="A380" s="518" t="s">
        <v>608</v>
      </c>
      <c r="B380" s="518"/>
      <c r="C380" s="518"/>
      <c r="D380" s="518"/>
      <c r="E380" s="375">
        <f t="shared" ref="E380:G380" si="107">E383</f>
        <v>5000</v>
      </c>
      <c r="F380" s="375">
        <f t="shared" si="107"/>
        <v>5000</v>
      </c>
      <c r="G380" s="375">
        <f t="shared" si="107"/>
        <v>5000</v>
      </c>
    </row>
    <row r="381" spans="1:7" s="120" customFormat="1" ht="12.75" x14ac:dyDescent="0.2">
      <c r="A381" s="346" t="s">
        <v>449</v>
      </c>
      <c r="B381" s="347"/>
      <c r="C381" s="347"/>
      <c r="D381" s="348"/>
      <c r="E381" s="352"/>
      <c r="F381" s="352"/>
      <c r="G381" s="352"/>
    </row>
    <row r="382" spans="1:7" s="120" customFormat="1" ht="12.75" x14ac:dyDescent="0.2">
      <c r="A382" s="450" t="s">
        <v>888</v>
      </c>
      <c r="B382" s="451"/>
      <c r="C382" s="451"/>
      <c r="D382" s="451"/>
      <c r="E382" s="341">
        <v>5000</v>
      </c>
      <c r="F382" s="341">
        <v>5000</v>
      </c>
      <c r="G382" s="341">
        <v>5000</v>
      </c>
    </row>
    <row r="383" spans="1:7" s="120" customFormat="1" ht="12.75" x14ac:dyDescent="0.2">
      <c r="A383" s="447">
        <v>3</v>
      </c>
      <c r="B383" s="448"/>
      <c r="C383" s="449"/>
      <c r="D383" s="39" t="s">
        <v>18</v>
      </c>
      <c r="E383" s="136">
        <f>E384</f>
        <v>5000</v>
      </c>
      <c r="F383" s="136">
        <f t="shared" ref="F383:G383" si="108">F384</f>
        <v>5000</v>
      </c>
      <c r="G383" s="136">
        <f t="shared" si="108"/>
        <v>5000</v>
      </c>
    </row>
    <row r="384" spans="1:7" s="120" customFormat="1" ht="12.75" x14ac:dyDescent="0.2">
      <c r="A384" s="453">
        <v>38</v>
      </c>
      <c r="B384" s="454"/>
      <c r="C384" s="455"/>
      <c r="D384" s="39" t="s">
        <v>50</v>
      </c>
      <c r="E384" s="326">
        <v>5000</v>
      </c>
      <c r="F384" s="326">
        <v>5000</v>
      </c>
      <c r="G384" s="326">
        <v>5000</v>
      </c>
    </row>
    <row r="385" spans="1:7" s="120" customFormat="1" ht="12.75" x14ac:dyDescent="0.2">
      <c r="A385" s="487" t="s">
        <v>569</v>
      </c>
      <c r="B385" s="488"/>
      <c r="C385" s="488"/>
      <c r="D385" s="489"/>
      <c r="E385" s="338">
        <f>E386</f>
        <v>5000</v>
      </c>
      <c r="F385" s="338">
        <f t="shared" ref="F385:G385" si="109">F386</f>
        <v>5000</v>
      </c>
      <c r="G385" s="338">
        <f t="shared" si="109"/>
        <v>5000</v>
      </c>
    </row>
    <row r="386" spans="1:7" s="120" customFormat="1" ht="12.75" x14ac:dyDescent="0.2">
      <c r="A386" s="490" t="s">
        <v>609</v>
      </c>
      <c r="B386" s="491"/>
      <c r="C386" s="491"/>
      <c r="D386" s="492"/>
      <c r="E386" s="371">
        <f t="shared" ref="E386:G386" si="110">E389</f>
        <v>5000</v>
      </c>
      <c r="F386" s="371">
        <f t="shared" si="110"/>
        <v>5000</v>
      </c>
      <c r="G386" s="371">
        <f t="shared" si="110"/>
        <v>5000</v>
      </c>
    </row>
    <row r="387" spans="1:7" s="120" customFormat="1" ht="12.75" x14ac:dyDescent="0.2">
      <c r="A387" s="346" t="s">
        <v>450</v>
      </c>
      <c r="B387" s="347"/>
      <c r="C387" s="347"/>
      <c r="D387" s="348"/>
      <c r="E387" s="352"/>
      <c r="F387" s="352"/>
      <c r="G387" s="352"/>
    </row>
    <row r="388" spans="1:7" s="120" customFormat="1" ht="12.75" x14ac:dyDescent="0.2">
      <c r="A388" s="450" t="s">
        <v>888</v>
      </c>
      <c r="B388" s="451"/>
      <c r="C388" s="451"/>
      <c r="D388" s="451"/>
      <c r="E388" s="341">
        <v>5000</v>
      </c>
      <c r="F388" s="341">
        <v>5000</v>
      </c>
      <c r="G388" s="341">
        <v>5000</v>
      </c>
    </row>
    <row r="389" spans="1:7" s="120" customFormat="1" ht="12.75" x14ac:dyDescent="0.2">
      <c r="A389" s="447">
        <v>3</v>
      </c>
      <c r="B389" s="448"/>
      <c r="C389" s="449"/>
      <c r="D389" s="39" t="s">
        <v>18</v>
      </c>
      <c r="E389" s="136">
        <f>E390</f>
        <v>5000</v>
      </c>
      <c r="F389" s="136">
        <f t="shared" ref="F389:G389" si="111">F390</f>
        <v>5000</v>
      </c>
      <c r="G389" s="136">
        <f t="shared" si="111"/>
        <v>5000</v>
      </c>
    </row>
    <row r="390" spans="1:7" s="120" customFormat="1" ht="12.75" x14ac:dyDescent="0.2">
      <c r="A390" s="453">
        <v>38</v>
      </c>
      <c r="B390" s="454"/>
      <c r="C390" s="455"/>
      <c r="D390" s="39" t="s">
        <v>50</v>
      </c>
      <c r="E390" s="326">
        <v>5000</v>
      </c>
      <c r="F390" s="326">
        <v>5000</v>
      </c>
      <c r="G390" s="326">
        <v>5000</v>
      </c>
    </row>
    <row r="391" spans="1:7" s="120" customFormat="1" ht="12.75" x14ac:dyDescent="0.2">
      <c r="A391" s="337" t="s">
        <v>101</v>
      </c>
      <c r="B391" s="337"/>
      <c r="C391" s="337"/>
      <c r="D391" s="337"/>
      <c r="E391" s="331">
        <f>E394+E412+E418</f>
        <v>176175</v>
      </c>
      <c r="F391" s="331">
        <f t="shared" ref="F391:G391" si="112">F394+F412+F418</f>
        <v>177900</v>
      </c>
      <c r="G391" s="331">
        <f t="shared" si="112"/>
        <v>98500</v>
      </c>
    </row>
    <row r="392" spans="1:7" s="120" customFormat="1" ht="12.75" x14ac:dyDescent="0.2">
      <c r="A392" s="160" t="s">
        <v>890</v>
      </c>
      <c r="B392" s="161"/>
      <c r="C392" s="161"/>
      <c r="D392" s="398"/>
      <c r="E392" s="72">
        <f>E397+E403+E415+E421</f>
        <v>69990</v>
      </c>
      <c r="F392" s="72">
        <f t="shared" ref="F392:G392" si="113">F397+F403+F415+F421</f>
        <v>71700</v>
      </c>
      <c r="G392" s="72">
        <f t="shared" si="113"/>
        <v>73700</v>
      </c>
    </row>
    <row r="393" spans="1:7" s="120" customFormat="1" ht="12.75" x14ac:dyDescent="0.2">
      <c r="A393" s="160" t="s">
        <v>891</v>
      </c>
      <c r="B393" s="161"/>
      <c r="C393" s="161"/>
      <c r="D393" s="398"/>
      <c r="E393" s="72">
        <f>E408</f>
        <v>106185</v>
      </c>
      <c r="F393" s="72">
        <f t="shared" ref="F393:G393" si="114">F408</f>
        <v>106200</v>
      </c>
      <c r="G393" s="72">
        <f t="shared" si="114"/>
        <v>24800</v>
      </c>
    </row>
    <row r="394" spans="1:7" s="120" customFormat="1" ht="12.75" x14ac:dyDescent="0.2">
      <c r="A394" s="51" t="s">
        <v>426</v>
      </c>
      <c r="B394" s="51"/>
      <c r="C394" s="51"/>
      <c r="D394" s="51"/>
      <c r="E394" s="52">
        <f>E395+E401+E406</f>
        <v>163075</v>
      </c>
      <c r="F394" s="52">
        <f t="shared" ref="F394:G394" si="115">F395+F401+F406</f>
        <v>164800</v>
      </c>
      <c r="G394" s="52">
        <f t="shared" si="115"/>
        <v>85400</v>
      </c>
    </row>
    <row r="395" spans="1:7" s="120" customFormat="1" ht="12.75" x14ac:dyDescent="0.2">
      <c r="A395" s="368" t="s">
        <v>610</v>
      </c>
      <c r="B395" s="369"/>
      <c r="C395" s="369"/>
      <c r="D395" s="369"/>
      <c r="E395" s="370">
        <f t="shared" ref="E395:G395" si="116">E398</f>
        <v>54890</v>
      </c>
      <c r="F395" s="370">
        <f t="shared" si="116"/>
        <v>56600</v>
      </c>
      <c r="G395" s="370">
        <f t="shared" si="116"/>
        <v>58600</v>
      </c>
    </row>
    <row r="396" spans="1:7" s="120" customFormat="1" ht="12.75" x14ac:dyDescent="0.2">
      <c r="A396" s="346" t="s">
        <v>451</v>
      </c>
      <c r="B396" s="347"/>
      <c r="C396" s="347"/>
      <c r="D396" s="348"/>
      <c r="E396" s="352"/>
      <c r="F396" s="352"/>
      <c r="G396" s="352"/>
    </row>
    <row r="397" spans="1:7" s="120" customFormat="1" ht="12.75" x14ac:dyDescent="0.2">
      <c r="A397" s="450" t="s">
        <v>888</v>
      </c>
      <c r="B397" s="451"/>
      <c r="C397" s="451"/>
      <c r="D397" s="451"/>
      <c r="E397" s="341">
        <v>54890</v>
      </c>
      <c r="F397" s="341">
        <v>56600</v>
      </c>
      <c r="G397" s="341">
        <v>58600</v>
      </c>
    </row>
    <row r="398" spans="1:7" s="120" customFormat="1" ht="12.75" x14ac:dyDescent="0.2">
      <c r="A398" s="447">
        <v>3</v>
      </c>
      <c r="B398" s="448"/>
      <c r="C398" s="449"/>
      <c r="D398" s="39" t="s">
        <v>18</v>
      </c>
      <c r="E398" s="326">
        <f>E399+E400</f>
        <v>54890</v>
      </c>
      <c r="F398" s="326">
        <f t="shared" ref="F398:G398" si="117">F399+F400</f>
        <v>56600</v>
      </c>
      <c r="G398" s="326">
        <f t="shared" si="117"/>
        <v>58600</v>
      </c>
    </row>
    <row r="399" spans="1:7" s="120" customFormat="1" ht="38.25" x14ac:dyDescent="0.2">
      <c r="A399" s="453">
        <v>37</v>
      </c>
      <c r="B399" s="454"/>
      <c r="C399" s="455"/>
      <c r="D399" s="39" t="s">
        <v>49</v>
      </c>
      <c r="E399" s="326">
        <v>47300</v>
      </c>
      <c r="F399" s="326">
        <v>49000</v>
      </c>
      <c r="G399" s="326">
        <v>51000</v>
      </c>
    </row>
    <row r="400" spans="1:7" s="120" customFormat="1" ht="12.75" x14ac:dyDescent="0.2">
      <c r="A400" s="453">
        <v>38</v>
      </c>
      <c r="B400" s="454"/>
      <c r="C400" s="455"/>
      <c r="D400" s="39" t="s">
        <v>50</v>
      </c>
      <c r="E400" s="326">
        <v>7590</v>
      </c>
      <c r="F400" s="326">
        <v>7600</v>
      </c>
      <c r="G400" s="326">
        <v>7600</v>
      </c>
    </row>
    <row r="401" spans="1:7" s="120" customFormat="1" ht="12.75" x14ac:dyDescent="0.2">
      <c r="A401" s="368" t="s">
        <v>611</v>
      </c>
      <c r="B401" s="369"/>
      <c r="C401" s="369"/>
      <c r="D401" s="373"/>
      <c r="E401" s="370">
        <f t="shared" ref="E401:G401" si="118">E404</f>
        <v>2000</v>
      </c>
      <c r="F401" s="370">
        <f t="shared" si="118"/>
        <v>2000</v>
      </c>
      <c r="G401" s="370">
        <f t="shared" si="118"/>
        <v>2000</v>
      </c>
    </row>
    <row r="402" spans="1:7" s="120" customFormat="1" ht="12.75" x14ac:dyDescent="0.2">
      <c r="A402" s="346" t="s">
        <v>451</v>
      </c>
      <c r="B402" s="347"/>
      <c r="C402" s="347"/>
      <c r="D402" s="348"/>
      <c r="E402" s="352"/>
      <c r="F402" s="352"/>
      <c r="G402" s="352"/>
    </row>
    <row r="403" spans="1:7" s="120" customFormat="1" ht="12.75" x14ac:dyDescent="0.2">
      <c r="A403" s="450" t="s">
        <v>865</v>
      </c>
      <c r="B403" s="451"/>
      <c r="C403" s="451"/>
      <c r="D403" s="451"/>
      <c r="E403" s="341">
        <v>2000</v>
      </c>
      <c r="F403" s="341">
        <v>2000</v>
      </c>
      <c r="G403" s="341">
        <v>2000</v>
      </c>
    </row>
    <row r="404" spans="1:7" s="120" customFormat="1" ht="12.75" x14ac:dyDescent="0.2">
      <c r="A404" s="447">
        <v>3</v>
      </c>
      <c r="B404" s="448"/>
      <c r="C404" s="449"/>
      <c r="D404" s="39" t="s">
        <v>18</v>
      </c>
      <c r="E404" s="326">
        <f>E405</f>
        <v>2000</v>
      </c>
      <c r="F404" s="326">
        <f t="shared" ref="F404:G404" si="119">F405</f>
        <v>2000</v>
      </c>
      <c r="G404" s="326">
        <f t="shared" si="119"/>
        <v>2000</v>
      </c>
    </row>
    <row r="405" spans="1:7" s="120" customFormat="1" ht="38.25" x14ac:dyDescent="0.2">
      <c r="A405" s="453">
        <v>37</v>
      </c>
      <c r="B405" s="454"/>
      <c r="C405" s="455"/>
      <c r="D405" s="39" t="s">
        <v>49</v>
      </c>
      <c r="E405" s="326">
        <v>2000</v>
      </c>
      <c r="F405" s="326">
        <v>2000</v>
      </c>
      <c r="G405" s="326">
        <v>2000</v>
      </c>
    </row>
    <row r="406" spans="1:7" s="120" customFormat="1" ht="12.75" customHeight="1" x14ac:dyDescent="0.2">
      <c r="A406" s="495" t="s">
        <v>612</v>
      </c>
      <c r="B406" s="496"/>
      <c r="C406" s="496"/>
      <c r="D406" s="497"/>
      <c r="E406" s="372">
        <f t="shared" ref="E406:G406" si="120">E409</f>
        <v>106185</v>
      </c>
      <c r="F406" s="372">
        <f t="shared" si="120"/>
        <v>106200</v>
      </c>
      <c r="G406" s="372">
        <f t="shared" si="120"/>
        <v>24800</v>
      </c>
    </row>
    <row r="407" spans="1:7" s="120" customFormat="1" ht="12.75" x14ac:dyDescent="0.2">
      <c r="A407" s="346" t="s">
        <v>452</v>
      </c>
      <c r="B407" s="347"/>
      <c r="C407" s="347"/>
      <c r="D407" s="348"/>
      <c r="E407" s="352"/>
      <c r="F407" s="352"/>
      <c r="G407" s="352"/>
    </row>
    <row r="408" spans="1:7" s="120" customFormat="1" ht="12.75" x14ac:dyDescent="0.2">
      <c r="A408" s="450" t="s">
        <v>867</v>
      </c>
      <c r="B408" s="451"/>
      <c r="C408" s="451"/>
      <c r="D408" s="452"/>
      <c r="E408" s="341">
        <v>106185</v>
      </c>
      <c r="F408" s="341">
        <v>106200</v>
      </c>
      <c r="G408" s="341">
        <v>24800</v>
      </c>
    </row>
    <row r="409" spans="1:7" s="120" customFormat="1" ht="12.75" x14ac:dyDescent="0.2">
      <c r="A409" s="447">
        <v>3</v>
      </c>
      <c r="B409" s="448"/>
      <c r="C409" s="449"/>
      <c r="D409" s="39" t="s">
        <v>18</v>
      </c>
      <c r="E409" s="326">
        <f>E410+E411</f>
        <v>106185</v>
      </c>
      <c r="F409" s="326">
        <f t="shared" ref="F409:G409" si="121">F410+F411</f>
        <v>106200</v>
      </c>
      <c r="G409" s="326">
        <f t="shared" si="121"/>
        <v>24800</v>
      </c>
    </row>
    <row r="410" spans="1:7" s="120" customFormat="1" ht="12.75" x14ac:dyDescent="0.2">
      <c r="A410" s="453">
        <v>31</v>
      </c>
      <c r="B410" s="454"/>
      <c r="C410" s="455"/>
      <c r="D410" s="39" t="s">
        <v>21</v>
      </c>
      <c r="E410" s="326">
        <v>101985</v>
      </c>
      <c r="F410" s="326">
        <v>102000</v>
      </c>
      <c r="G410" s="326">
        <v>23750</v>
      </c>
    </row>
    <row r="411" spans="1:7" s="120" customFormat="1" ht="12.75" x14ac:dyDescent="0.2">
      <c r="A411" s="453">
        <v>32</v>
      </c>
      <c r="B411" s="454"/>
      <c r="C411" s="455"/>
      <c r="D411" s="39" t="s">
        <v>32</v>
      </c>
      <c r="E411" s="326">
        <v>4200</v>
      </c>
      <c r="F411" s="326">
        <v>4200</v>
      </c>
      <c r="G411" s="326">
        <v>1050</v>
      </c>
    </row>
    <row r="412" spans="1:7" s="120" customFormat="1" ht="12.75" x14ac:dyDescent="0.2">
      <c r="A412" s="487" t="s">
        <v>427</v>
      </c>
      <c r="B412" s="488"/>
      <c r="C412" s="488"/>
      <c r="D412" s="489"/>
      <c r="E412" s="344">
        <f>E413</f>
        <v>2100</v>
      </c>
      <c r="F412" s="344">
        <f t="shared" ref="F412:G412" si="122">F413</f>
        <v>2100</v>
      </c>
      <c r="G412" s="344">
        <f t="shared" si="122"/>
        <v>2100</v>
      </c>
    </row>
    <row r="413" spans="1:7" s="120" customFormat="1" ht="12.75" x14ac:dyDescent="0.2">
      <c r="A413" s="490" t="s">
        <v>613</v>
      </c>
      <c r="B413" s="491"/>
      <c r="C413" s="491"/>
      <c r="D413" s="492"/>
      <c r="E413" s="371">
        <f t="shared" ref="E413:G413" si="123">E416</f>
        <v>2100</v>
      </c>
      <c r="F413" s="371">
        <f t="shared" si="123"/>
        <v>2100</v>
      </c>
      <c r="G413" s="371">
        <f t="shared" si="123"/>
        <v>2100</v>
      </c>
    </row>
    <row r="414" spans="1:7" s="120" customFormat="1" ht="12.75" x14ac:dyDescent="0.2">
      <c r="A414" s="529" t="s">
        <v>453</v>
      </c>
      <c r="B414" s="530"/>
      <c r="C414" s="530"/>
      <c r="D414" s="530"/>
      <c r="E414" s="530"/>
      <c r="F414" s="530"/>
      <c r="G414" s="531"/>
    </row>
    <row r="415" spans="1:7" s="120" customFormat="1" ht="12.75" x14ac:dyDescent="0.2">
      <c r="A415" s="450" t="s">
        <v>865</v>
      </c>
      <c r="B415" s="451"/>
      <c r="C415" s="451"/>
      <c r="D415" s="451"/>
      <c r="E415" s="341">
        <v>2100</v>
      </c>
      <c r="F415" s="341">
        <v>2100</v>
      </c>
      <c r="G415" s="341">
        <v>2100</v>
      </c>
    </row>
    <row r="416" spans="1:7" s="120" customFormat="1" ht="12.75" x14ac:dyDescent="0.2">
      <c r="A416" s="447">
        <v>3</v>
      </c>
      <c r="B416" s="448"/>
      <c r="C416" s="449"/>
      <c r="D416" s="39" t="s">
        <v>18</v>
      </c>
      <c r="E416" s="326">
        <f>E417</f>
        <v>2100</v>
      </c>
      <c r="F416" s="326">
        <f t="shared" ref="F416:G416" si="124">F417</f>
        <v>2100</v>
      </c>
      <c r="G416" s="326">
        <f t="shared" si="124"/>
        <v>2100</v>
      </c>
    </row>
    <row r="417" spans="1:7" s="120" customFormat="1" ht="12.75" x14ac:dyDescent="0.2">
      <c r="A417" s="453">
        <v>38</v>
      </c>
      <c r="B417" s="454"/>
      <c r="C417" s="455"/>
      <c r="D417" s="39" t="s">
        <v>50</v>
      </c>
      <c r="E417" s="326">
        <v>2100</v>
      </c>
      <c r="F417" s="326">
        <v>2100</v>
      </c>
      <c r="G417" s="326">
        <v>2100</v>
      </c>
    </row>
    <row r="418" spans="1:7" s="120" customFormat="1" ht="12.75" x14ac:dyDescent="0.2">
      <c r="A418" s="487" t="s">
        <v>428</v>
      </c>
      <c r="B418" s="488"/>
      <c r="C418" s="488"/>
      <c r="D418" s="489"/>
      <c r="E418" s="343">
        <f>E419</f>
        <v>11000</v>
      </c>
      <c r="F418" s="343">
        <f t="shared" ref="F418:G418" si="125">F419</f>
        <v>11000</v>
      </c>
      <c r="G418" s="343">
        <f t="shared" si="125"/>
        <v>11000</v>
      </c>
    </row>
    <row r="419" spans="1:7" s="120" customFormat="1" ht="13.5" customHeight="1" x14ac:dyDescent="0.2">
      <c r="A419" s="495" t="s">
        <v>614</v>
      </c>
      <c r="B419" s="496"/>
      <c r="C419" s="496"/>
      <c r="D419" s="497"/>
      <c r="E419" s="370">
        <f t="shared" ref="E419:G419" si="126">E422</f>
        <v>11000</v>
      </c>
      <c r="F419" s="370">
        <f t="shared" si="126"/>
        <v>11000</v>
      </c>
      <c r="G419" s="370">
        <f t="shared" si="126"/>
        <v>11000</v>
      </c>
    </row>
    <row r="420" spans="1:7" s="120" customFormat="1" ht="12.75" x14ac:dyDescent="0.2">
      <c r="A420" s="346" t="s">
        <v>454</v>
      </c>
      <c r="B420" s="347"/>
      <c r="C420" s="347"/>
      <c r="D420" s="348"/>
      <c r="E420" s="352"/>
      <c r="F420" s="352"/>
      <c r="G420" s="352"/>
    </row>
    <row r="421" spans="1:7" s="120" customFormat="1" ht="12.75" x14ac:dyDescent="0.2">
      <c r="A421" s="450" t="s">
        <v>865</v>
      </c>
      <c r="B421" s="451"/>
      <c r="C421" s="451"/>
      <c r="D421" s="451"/>
      <c r="E421" s="341">
        <v>11000</v>
      </c>
      <c r="F421" s="341">
        <v>11000</v>
      </c>
      <c r="G421" s="341">
        <v>11000</v>
      </c>
    </row>
    <row r="422" spans="1:7" s="120" customFormat="1" ht="12.75" x14ac:dyDescent="0.2">
      <c r="A422" s="447">
        <v>3</v>
      </c>
      <c r="B422" s="448"/>
      <c r="C422" s="449"/>
      <c r="D422" s="39" t="s">
        <v>18</v>
      </c>
      <c r="E422" s="136">
        <f>E423</f>
        <v>11000</v>
      </c>
      <c r="F422" s="136">
        <f t="shared" ref="F422:G422" si="127">F423</f>
        <v>11000</v>
      </c>
      <c r="G422" s="136">
        <f t="shared" si="127"/>
        <v>11000</v>
      </c>
    </row>
    <row r="423" spans="1:7" s="120" customFormat="1" ht="12.75" x14ac:dyDescent="0.2">
      <c r="A423" s="453">
        <v>38</v>
      </c>
      <c r="B423" s="454"/>
      <c r="C423" s="455"/>
      <c r="D423" s="39" t="s">
        <v>50</v>
      </c>
      <c r="E423" s="326">
        <v>11000</v>
      </c>
      <c r="F423" s="326">
        <v>11000</v>
      </c>
      <c r="G423" s="326">
        <v>11000</v>
      </c>
    </row>
    <row r="424" spans="1:7" s="120" customFormat="1" ht="12.75" x14ac:dyDescent="0.2">
      <c r="A424" s="532" t="s">
        <v>106</v>
      </c>
      <c r="B424" s="533"/>
      <c r="C424" s="533"/>
      <c r="D424" s="534"/>
      <c r="E424" s="367">
        <f>E426</f>
        <v>12000</v>
      </c>
      <c r="F424" s="367">
        <f>F426</f>
        <v>12000</v>
      </c>
      <c r="G424" s="367">
        <f>G426</f>
        <v>12000</v>
      </c>
    </row>
    <row r="425" spans="1:7" s="120" customFormat="1" ht="12.75" x14ac:dyDescent="0.2">
      <c r="A425" s="160" t="s">
        <v>890</v>
      </c>
      <c r="B425" s="161"/>
      <c r="C425" s="161"/>
      <c r="D425" s="398"/>
      <c r="E425" s="232">
        <f>E429</f>
        <v>12000</v>
      </c>
      <c r="F425" s="232">
        <f t="shared" ref="F425:G425" si="128">F429</f>
        <v>12000</v>
      </c>
      <c r="G425" s="232">
        <f t="shared" si="128"/>
        <v>12000</v>
      </c>
    </row>
    <row r="426" spans="1:7" s="120" customFormat="1" ht="12.75" x14ac:dyDescent="0.2">
      <c r="A426" s="345" t="s">
        <v>429</v>
      </c>
      <c r="B426" s="345"/>
      <c r="C426" s="345"/>
      <c r="D426" s="345"/>
      <c r="E426" s="344">
        <f t="shared" ref="E426:G426" si="129">E427</f>
        <v>12000</v>
      </c>
      <c r="F426" s="344">
        <f t="shared" si="129"/>
        <v>12000</v>
      </c>
      <c r="G426" s="344">
        <f t="shared" si="129"/>
        <v>12000</v>
      </c>
    </row>
    <row r="427" spans="1:7" s="120" customFormat="1" ht="12.75" x14ac:dyDescent="0.2">
      <c r="A427" s="368" t="s">
        <v>615</v>
      </c>
      <c r="B427" s="369"/>
      <c r="C427" s="369"/>
      <c r="D427" s="369"/>
      <c r="E427" s="370">
        <f t="shared" ref="E427:G427" si="130">E430</f>
        <v>12000</v>
      </c>
      <c r="F427" s="370">
        <f t="shared" si="130"/>
        <v>12000</v>
      </c>
      <c r="G427" s="370">
        <f t="shared" si="130"/>
        <v>12000</v>
      </c>
    </row>
    <row r="428" spans="1:7" s="120" customFormat="1" ht="12.75" x14ac:dyDescent="0.2">
      <c r="A428" s="346" t="s">
        <v>455</v>
      </c>
      <c r="B428" s="347"/>
      <c r="C428" s="347"/>
      <c r="D428" s="348"/>
      <c r="E428" s="352"/>
      <c r="F428" s="352"/>
      <c r="G428" s="352"/>
    </row>
    <row r="429" spans="1:7" s="120" customFormat="1" ht="12.75" x14ac:dyDescent="0.2">
      <c r="A429" s="450" t="s">
        <v>865</v>
      </c>
      <c r="B429" s="451"/>
      <c r="C429" s="451"/>
      <c r="D429" s="451"/>
      <c r="E429" s="341">
        <v>12000</v>
      </c>
      <c r="F429" s="341">
        <v>12000</v>
      </c>
      <c r="G429" s="341">
        <v>12000</v>
      </c>
    </row>
    <row r="430" spans="1:7" s="120" customFormat="1" ht="12.75" x14ac:dyDescent="0.2">
      <c r="A430" s="447">
        <v>3</v>
      </c>
      <c r="B430" s="448"/>
      <c r="C430" s="449"/>
      <c r="D430" s="39" t="s">
        <v>18</v>
      </c>
      <c r="E430" s="136">
        <f>E431</f>
        <v>12000</v>
      </c>
      <c r="F430" s="136">
        <f t="shared" ref="F430:G430" si="131">F431</f>
        <v>12000</v>
      </c>
      <c r="G430" s="136">
        <f t="shared" si="131"/>
        <v>12000</v>
      </c>
    </row>
    <row r="431" spans="1:7" s="120" customFormat="1" ht="12.75" x14ac:dyDescent="0.2">
      <c r="A431" s="453">
        <v>38</v>
      </c>
      <c r="B431" s="454"/>
      <c r="C431" s="455"/>
      <c r="D431" s="39" t="s">
        <v>50</v>
      </c>
      <c r="E431" s="326">
        <v>12000</v>
      </c>
      <c r="F431" s="326">
        <v>12000</v>
      </c>
      <c r="G431" s="326">
        <v>12000</v>
      </c>
    </row>
    <row r="432" spans="1:7" x14ac:dyDescent="0.25">
      <c r="E432" s="33"/>
      <c r="F432" s="33"/>
      <c r="G432" s="33"/>
    </row>
    <row r="433" spans="1:7" s="118" customFormat="1" ht="12.75" x14ac:dyDescent="0.2">
      <c r="A433" s="441" t="s">
        <v>683</v>
      </c>
      <c r="B433" s="441"/>
      <c r="C433" s="441"/>
      <c r="D433" s="441"/>
      <c r="E433" s="441"/>
      <c r="F433" s="441"/>
      <c r="G433" s="441"/>
    </row>
    <row r="434" spans="1:7" x14ac:dyDescent="0.25">
      <c r="E434" s="33"/>
      <c r="F434" s="33"/>
      <c r="G434" s="33"/>
    </row>
    <row r="435" spans="1:7" s="120" customFormat="1" ht="12.75" x14ac:dyDescent="0.2">
      <c r="A435" s="120" t="s">
        <v>899</v>
      </c>
      <c r="E435" s="137"/>
      <c r="F435" s="137"/>
      <c r="G435" s="137"/>
    </row>
    <row r="436" spans="1:7" x14ac:dyDescent="0.25">
      <c r="E436" s="33"/>
      <c r="F436" s="33"/>
      <c r="G436" s="33"/>
    </row>
    <row r="437" spans="1:7" x14ac:dyDescent="0.25">
      <c r="E437" s="33"/>
      <c r="F437" s="33"/>
      <c r="G437" s="33"/>
    </row>
    <row r="438" spans="1:7" x14ac:dyDescent="0.25">
      <c r="E438" s="33"/>
      <c r="F438" s="33"/>
      <c r="G438" s="33"/>
    </row>
    <row r="439" spans="1:7" x14ac:dyDescent="0.25">
      <c r="A439" s="442" t="s">
        <v>564</v>
      </c>
      <c r="B439" s="442"/>
      <c r="C439" s="442"/>
      <c r="D439" s="442"/>
      <c r="E439" s="442"/>
      <c r="F439" s="442"/>
      <c r="G439" s="442"/>
    </row>
    <row r="440" spans="1:7" x14ac:dyDescent="0.25">
      <c r="E440" s="33"/>
      <c r="F440" s="33"/>
      <c r="G440" s="33"/>
    </row>
    <row r="441" spans="1:7" s="118" customFormat="1" ht="12.75" x14ac:dyDescent="0.2">
      <c r="A441" s="441" t="s">
        <v>684</v>
      </c>
      <c r="B441" s="441"/>
      <c r="C441" s="441"/>
      <c r="D441" s="441"/>
      <c r="E441" s="441"/>
      <c r="F441" s="441"/>
      <c r="G441" s="441"/>
    </row>
    <row r="442" spans="1:7" x14ac:dyDescent="0.25">
      <c r="E442" s="33"/>
      <c r="F442" s="33"/>
      <c r="G442" s="33"/>
    </row>
    <row r="443" spans="1:7" s="120" customFormat="1" ht="12.75" x14ac:dyDescent="0.2">
      <c r="A443" s="469" t="s">
        <v>566</v>
      </c>
      <c r="B443" s="469"/>
      <c r="C443" s="469"/>
      <c r="D443" s="469"/>
      <c r="E443" s="469"/>
      <c r="F443" s="469"/>
      <c r="G443" s="469"/>
    </row>
    <row r="444" spans="1:7" s="120" customFormat="1" ht="12.75" x14ac:dyDescent="0.2">
      <c r="A444" s="425" t="s">
        <v>841</v>
      </c>
      <c r="B444" s="425"/>
      <c r="C444" s="425"/>
      <c r="D444" s="425"/>
      <c r="E444" s="425"/>
      <c r="F444" s="425"/>
      <c r="G444" s="425"/>
    </row>
    <row r="445" spans="1:7" x14ac:dyDescent="0.25">
      <c r="A445" s="54"/>
      <c r="B445" s="54"/>
      <c r="C445" s="54"/>
      <c r="D445" s="54"/>
      <c r="E445" s="54"/>
      <c r="F445" s="54"/>
      <c r="G445" s="54"/>
    </row>
    <row r="446" spans="1:7" x14ac:dyDescent="0.25">
      <c r="A446" s="54"/>
      <c r="B446" s="54"/>
      <c r="C446" s="54"/>
      <c r="D446" s="54"/>
      <c r="E446" s="54"/>
      <c r="F446" s="54"/>
      <c r="G446" s="54"/>
    </row>
    <row r="447" spans="1:7" s="605" customFormat="1" x14ac:dyDescent="0.25">
      <c r="A447" s="605" t="s">
        <v>898</v>
      </c>
      <c r="E447" s="606"/>
      <c r="F447" s="606"/>
      <c r="G447" s="606"/>
    </row>
    <row r="448" spans="1:7" s="605" customFormat="1" x14ac:dyDescent="0.25">
      <c r="A448" s="605" t="s">
        <v>897</v>
      </c>
      <c r="E448" s="606"/>
      <c r="F448" s="606"/>
      <c r="G448" s="606"/>
    </row>
    <row r="449" spans="1:7" s="605" customFormat="1" x14ac:dyDescent="0.25">
      <c r="A449" s="605" t="s">
        <v>889</v>
      </c>
      <c r="E449" s="606"/>
      <c r="F449" s="606"/>
      <c r="G449" s="606"/>
    </row>
    <row r="450" spans="1:7" x14ac:dyDescent="0.25">
      <c r="E450" s="33"/>
      <c r="F450" s="33"/>
      <c r="G450" s="103" t="s">
        <v>637</v>
      </c>
    </row>
    <row r="451" spans="1:7" x14ac:dyDescent="0.25">
      <c r="G451" s="69"/>
    </row>
    <row r="452" spans="1:7" x14ac:dyDescent="0.25">
      <c r="G452" s="77" t="s">
        <v>638</v>
      </c>
    </row>
  </sheetData>
  <mergeCells count="354">
    <mergeCell ref="A215:D215"/>
    <mergeCell ref="A397:D397"/>
    <mergeCell ref="A237:D237"/>
    <mergeCell ref="A53:D53"/>
    <mergeCell ref="A227:D227"/>
    <mergeCell ref="A226:D226"/>
    <mergeCell ref="A220:D220"/>
    <mergeCell ref="A256:D256"/>
    <mergeCell ref="A151:D151"/>
    <mergeCell ref="A221:D221"/>
    <mergeCell ref="A295:D295"/>
    <mergeCell ref="A228:D228"/>
    <mergeCell ref="A296:D296"/>
    <mergeCell ref="A229:D229"/>
    <mergeCell ref="A66:D66"/>
    <mergeCell ref="A127:D127"/>
    <mergeCell ref="A166:D166"/>
    <mergeCell ref="A153:D153"/>
    <mergeCell ref="A245:D245"/>
    <mergeCell ref="A77:D77"/>
    <mergeCell ref="A111:D111"/>
    <mergeCell ref="A148:D148"/>
    <mergeCell ref="A294:D294"/>
    <mergeCell ref="A83:D83"/>
    <mergeCell ref="A185:D185"/>
    <mergeCell ref="A191:D191"/>
    <mergeCell ref="A298:C298"/>
    <mergeCell ref="A167:C167"/>
    <mergeCell ref="A299:D299"/>
    <mergeCell ref="A30:D30"/>
    <mergeCell ref="A277:D277"/>
    <mergeCell ref="A54:D54"/>
    <mergeCell ref="A429:D429"/>
    <mergeCell ref="A421:D421"/>
    <mergeCell ref="A415:D415"/>
    <mergeCell ref="A403:D403"/>
    <mergeCell ref="A55:D55"/>
    <mergeCell ref="A35:D35"/>
    <mergeCell ref="A102:D102"/>
    <mergeCell ref="A244:D244"/>
    <mergeCell ref="A251:D251"/>
    <mergeCell ref="A262:D262"/>
    <mergeCell ref="A269:D269"/>
    <mergeCell ref="A276:D276"/>
    <mergeCell ref="A284:D284"/>
    <mergeCell ref="A302:D302"/>
    <mergeCell ref="A329:D329"/>
    <mergeCell ref="A336:D336"/>
    <mergeCell ref="E200:E201"/>
    <mergeCell ref="F200:F201"/>
    <mergeCell ref="G200:G201"/>
    <mergeCell ref="E188:E189"/>
    <mergeCell ref="F188:F189"/>
    <mergeCell ref="G188:G189"/>
    <mergeCell ref="A306:C306"/>
    <mergeCell ref="A307:C307"/>
    <mergeCell ref="A369:C369"/>
    <mergeCell ref="A292:D292"/>
    <mergeCell ref="A350:C350"/>
    <mergeCell ref="A304:C304"/>
    <mergeCell ref="A305:C305"/>
    <mergeCell ref="A300:D300"/>
    <mergeCell ref="A337:C337"/>
    <mergeCell ref="A363:C363"/>
    <mergeCell ref="A364:D364"/>
    <mergeCell ref="A365:D365"/>
    <mergeCell ref="A368:C368"/>
    <mergeCell ref="F232:F233"/>
    <mergeCell ref="G232:G233"/>
    <mergeCell ref="A286:C286"/>
    <mergeCell ref="E272:E274"/>
    <mergeCell ref="A263:C263"/>
    <mergeCell ref="E373:E374"/>
    <mergeCell ref="F373:F374"/>
    <mergeCell ref="G373:G374"/>
    <mergeCell ref="A383:C383"/>
    <mergeCell ref="A384:C384"/>
    <mergeCell ref="A386:D386"/>
    <mergeCell ref="A385:D385"/>
    <mergeCell ref="A334:D334"/>
    <mergeCell ref="A331:C331"/>
    <mergeCell ref="A333:C333"/>
    <mergeCell ref="A339:D339"/>
    <mergeCell ref="A340:D340"/>
    <mergeCell ref="A341:D341"/>
    <mergeCell ref="A343:D343"/>
    <mergeCell ref="A349:D349"/>
    <mergeCell ref="A359:D359"/>
    <mergeCell ref="A367:D367"/>
    <mergeCell ref="E326:E327"/>
    <mergeCell ref="F326:F327"/>
    <mergeCell ref="G326:G327"/>
    <mergeCell ref="E340:E341"/>
    <mergeCell ref="F340:F341"/>
    <mergeCell ref="G340:G341"/>
    <mergeCell ref="E352:E353"/>
    <mergeCell ref="F352:F353"/>
    <mergeCell ref="G352:G353"/>
    <mergeCell ref="A182:D182"/>
    <mergeCell ref="A186:C186"/>
    <mergeCell ref="A170:D170"/>
    <mergeCell ref="A174:C174"/>
    <mergeCell ref="A175:C175"/>
    <mergeCell ref="A230:C230"/>
    <mergeCell ref="A231:C231"/>
    <mergeCell ref="A130:D130"/>
    <mergeCell ref="A135:D135"/>
    <mergeCell ref="A132:D132"/>
    <mergeCell ref="A224:D224"/>
    <mergeCell ref="A205:D205"/>
    <mergeCell ref="A197:D197"/>
    <mergeCell ref="A196:D196"/>
    <mergeCell ref="A210:D210"/>
    <mergeCell ref="A149:D149"/>
    <mergeCell ref="A152:D152"/>
    <mergeCell ref="A204:D204"/>
    <mergeCell ref="A203:D203"/>
    <mergeCell ref="A172:D172"/>
    <mergeCell ref="A173:D173"/>
    <mergeCell ref="A179:D179"/>
    <mergeCell ref="A178:D178"/>
    <mergeCell ref="A184:D184"/>
    <mergeCell ref="A234:D234"/>
    <mergeCell ref="A232:D232"/>
    <mergeCell ref="A266:D266"/>
    <mergeCell ref="A258:C258"/>
    <mergeCell ref="A246:C246"/>
    <mergeCell ref="A247:C247"/>
    <mergeCell ref="A248:C248"/>
    <mergeCell ref="A252:C252"/>
    <mergeCell ref="A253:C253"/>
    <mergeCell ref="A238:D238"/>
    <mergeCell ref="A431:C431"/>
    <mergeCell ref="A180:C180"/>
    <mergeCell ref="A168:C168"/>
    <mergeCell ref="A287:D287"/>
    <mergeCell ref="A206:C206"/>
    <mergeCell ref="A207:C207"/>
    <mergeCell ref="A208:D208"/>
    <mergeCell ref="A211:C211"/>
    <mergeCell ref="A212:C212"/>
    <mergeCell ref="A297:C297"/>
    <mergeCell ref="A169:D169"/>
    <mergeCell ref="A176:D176"/>
    <mergeCell ref="A194:D194"/>
    <mergeCell ref="A198:C198"/>
    <mergeCell ref="A199:C199"/>
    <mergeCell ref="A200:D201"/>
    <mergeCell ref="A217:C217"/>
    <mergeCell ref="A265:C265"/>
    <mergeCell ref="A239:C239"/>
    <mergeCell ref="A240:C240"/>
    <mergeCell ref="A261:G261"/>
    <mergeCell ref="E234:E235"/>
    <mergeCell ref="F234:F235"/>
    <mergeCell ref="G234:G235"/>
    <mergeCell ref="A430:C430"/>
    <mergeCell ref="A409:C409"/>
    <mergeCell ref="A410:C410"/>
    <mergeCell ref="A411:C411"/>
    <mergeCell ref="A412:D412"/>
    <mergeCell ref="A413:D413"/>
    <mergeCell ref="A398:C398"/>
    <mergeCell ref="A399:C399"/>
    <mergeCell ref="A404:C404"/>
    <mergeCell ref="A405:C405"/>
    <mergeCell ref="A408:D408"/>
    <mergeCell ref="A418:D418"/>
    <mergeCell ref="A406:D406"/>
    <mergeCell ref="A414:G414"/>
    <mergeCell ref="A400:C400"/>
    <mergeCell ref="A416:C416"/>
    <mergeCell ref="A417:C417"/>
    <mergeCell ref="A419:D419"/>
    <mergeCell ref="A422:C422"/>
    <mergeCell ref="A423:C423"/>
    <mergeCell ref="A424:D424"/>
    <mergeCell ref="A319:C319"/>
    <mergeCell ref="A320:C320"/>
    <mergeCell ref="A321:C321"/>
    <mergeCell ref="A322:C322"/>
    <mergeCell ref="A323:C323"/>
    <mergeCell ref="A324:C324"/>
    <mergeCell ref="A235:D235"/>
    <mergeCell ref="A272:D274"/>
    <mergeCell ref="A282:D282"/>
    <mergeCell ref="A264:C264"/>
    <mergeCell ref="A249:D249"/>
    <mergeCell ref="A254:D254"/>
    <mergeCell ref="A257:C257"/>
    <mergeCell ref="A271:C271"/>
    <mergeCell ref="A267:D267"/>
    <mergeCell ref="A278:C278"/>
    <mergeCell ref="A270:C270"/>
    <mergeCell ref="A279:C279"/>
    <mergeCell ref="A318:D318"/>
    <mergeCell ref="A303:D303"/>
    <mergeCell ref="A289:D289"/>
    <mergeCell ref="A390:C390"/>
    <mergeCell ref="A373:D373"/>
    <mergeCell ref="A377:C377"/>
    <mergeCell ref="A378:C378"/>
    <mergeCell ref="A380:D380"/>
    <mergeCell ref="A327:D327"/>
    <mergeCell ref="A351:C351"/>
    <mergeCell ref="A353:D353"/>
    <mergeCell ref="A357:D357"/>
    <mergeCell ref="A338:C338"/>
    <mergeCell ref="A361:C361"/>
    <mergeCell ref="A362:C362"/>
    <mergeCell ref="A344:C344"/>
    <mergeCell ref="A345:C345"/>
    <mergeCell ref="A332:C332"/>
    <mergeCell ref="A360:D360"/>
    <mergeCell ref="A330:D330"/>
    <mergeCell ref="A376:D376"/>
    <mergeCell ref="A382:D382"/>
    <mergeCell ref="A388:D388"/>
    <mergeCell ref="A19:C19"/>
    <mergeCell ref="A26:C26"/>
    <mergeCell ref="A21:C21"/>
    <mergeCell ref="A20:C20"/>
    <mergeCell ref="A25:C25"/>
    <mergeCell ref="A1:G1"/>
    <mergeCell ref="A8:C8"/>
    <mergeCell ref="A18:C18"/>
    <mergeCell ref="A10:D10"/>
    <mergeCell ref="A11:D11"/>
    <mergeCell ref="A15:D15"/>
    <mergeCell ref="A17:D17"/>
    <mergeCell ref="A22:D22"/>
    <mergeCell ref="A5:G5"/>
    <mergeCell ref="A4:G4"/>
    <mergeCell ref="A24:D24"/>
    <mergeCell ref="A3:G3"/>
    <mergeCell ref="A9:D9"/>
    <mergeCell ref="F6:G6"/>
    <mergeCell ref="A39:D39"/>
    <mergeCell ref="A33:D33"/>
    <mergeCell ref="E114:E115"/>
    <mergeCell ref="F114:F115"/>
    <mergeCell ref="A57:D57"/>
    <mergeCell ref="A56:D56"/>
    <mergeCell ref="A87:D87"/>
    <mergeCell ref="A91:C91"/>
    <mergeCell ref="A92:C92"/>
    <mergeCell ref="A88:D88"/>
    <mergeCell ref="A90:D90"/>
    <mergeCell ref="A74:D74"/>
    <mergeCell ref="A76:D76"/>
    <mergeCell ref="A78:C78"/>
    <mergeCell ref="A79:C79"/>
    <mergeCell ref="A93:C93"/>
    <mergeCell ref="A107:D107"/>
    <mergeCell ref="A108:D108"/>
    <mergeCell ref="A110:D110"/>
    <mergeCell ref="A112:C112"/>
    <mergeCell ref="A113:C113"/>
    <mergeCell ref="A115:D115"/>
    <mergeCell ref="A42:D42"/>
    <mergeCell ref="A65:D65"/>
    <mergeCell ref="A27:C27"/>
    <mergeCell ref="A104:C104"/>
    <mergeCell ref="A81:D81"/>
    <mergeCell ref="A85:C85"/>
    <mergeCell ref="A80:D80"/>
    <mergeCell ref="A84:D84"/>
    <mergeCell ref="A86:C86"/>
    <mergeCell ref="A44:C44"/>
    <mergeCell ref="A43:C43"/>
    <mergeCell ref="A45:D45"/>
    <mergeCell ref="A50:D50"/>
    <mergeCell ref="A51:D51"/>
    <mergeCell ref="A58:C58"/>
    <mergeCell ref="A59:C59"/>
    <mergeCell ref="A60:C60"/>
    <mergeCell ref="A103:D103"/>
    <mergeCell ref="A40:D40"/>
    <mergeCell ref="A36:D36"/>
    <mergeCell ref="A37:C37"/>
    <mergeCell ref="A38:C38"/>
    <mergeCell ref="A28:D28"/>
    <mergeCell ref="A31:C31"/>
    <mergeCell ref="A32:C32"/>
    <mergeCell ref="A61:C61"/>
    <mergeCell ref="G99:G100"/>
    <mergeCell ref="E99:E100"/>
    <mergeCell ref="G114:G115"/>
    <mergeCell ref="E120:E121"/>
    <mergeCell ref="F120:F121"/>
    <mergeCell ref="G120:G121"/>
    <mergeCell ref="A99:D99"/>
    <mergeCell ref="A164:D164"/>
    <mergeCell ref="A158:D158"/>
    <mergeCell ref="A159:D159"/>
    <mergeCell ref="A160:C160"/>
    <mergeCell ref="A161:C161"/>
    <mergeCell ref="A150:D150"/>
    <mergeCell ref="A156:D156"/>
    <mergeCell ref="A126:D126"/>
    <mergeCell ref="F99:F100"/>
    <mergeCell ref="A119:D119"/>
    <mergeCell ref="A129:C129"/>
    <mergeCell ref="A154:C154"/>
    <mergeCell ref="A137:D137"/>
    <mergeCell ref="A128:C128"/>
    <mergeCell ref="A441:G441"/>
    <mergeCell ref="A443:G443"/>
    <mergeCell ref="A444:G444"/>
    <mergeCell ref="A62:D62"/>
    <mergeCell ref="A64:D64"/>
    <mergeCell ref="A67:C67"/>
    <mergeCell ref="A68:C68"/>
    <mergeCell ref="A71:D71"/>
    <mergeCell ref="A69:D69"/>
    <mergeCell ref="A72:C72"/>
    <mergeCell ref="A73:C73"/>
    <mergeCell ref="F272:F274"/>
    <mergeCell ref="G272:G274"/>
    <mergeCell ref="A285:C285"/>
    <mergeCell ref="A280:C280"/>
    <mergeCell ref="A218:D218"/>
    <mergeCell ref="A222:C222"/>
    <mergeCell ref="A223:C223"/>
    <mergeCell ref="A290:C290"/>
    <mergeCell ref="A291:C291"/>
    <mergeCell ref="E232:E233"/>
    <mergeCell ref="A121:D121"/>
    <mergeCell ref="A123:D123"/>
    <mergeCell ref="A105:C105"/>
    <mergeCell ref="A433:G433"/>
    <mergeCell ref="A439:G439"/>
    <mergeCell ref="A106:C106"/>
    <mergeCell ref="A213:D213"/>
    <mergeCell ref="A216:C216"/>
    <mergeCell ref="A165:D165"/>
    <mergeCell ref="A144:C144"/>
    <mergeCell ref="A145:C145"/>
    <mergeCell ref="A155:C155"/>
    <mergeCell ref="A120:D120"/>
    <mergeCell ref="A162:D162"/>
    <mergeCell ref="A125:D125"/>
    <mergeCell ref="A133:C133"/>
    <mergeCell ref="A134:C134"/>
    <mergeCell ref="A139:C139"/>
    <mergeCell ref="A140:C140"/>
    <mergeCell ref="A124:D124"/>
    <mergeCell ref="A188:D189"/>
    <mergeCell ref="A138:D138"/>
    <mergeCell ref="A141:D141"/>
    <mergeCell ref="A143:D143"/>
    <mergeCell ref="A192:C192"/>
    <mergeCell ref="A326:D326"/>
    <mergeCell ref="A389:C389"/>
  </mergeCells>
  <pageMargins left="0.70866141732283472" right="0.11811023622047245" top="0.55118110236220474" bottom="0.47244094488188981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EFB4-8BB0-414F-B803-DD0D8D710E1B}">
  <dimension ref="A1:Y73"/>
  <sheetViews>
    <sheetView topLeftCell="A7" workbookViewId="0">
      <selection activeCell="P11" sqref="P11:P30"/>
    </sheetView>
  </sheetViews>
  <sheetFormatPr defaultRowHeight="15" x14ac:dyDescent="0.25"/>
  <cols>
    <col min="5" max="5" width="14" customWidth="1"/>
    <col min="6" max="6" width="2" style="261" customWidth="1"/>
    <col min="7" max="7" width="1.5703125" customWidth="1"/>
    <col min="8" max="8" width="1.140625" customWidth="1"/>
    <col min="9" max="9" width="14" hidden="1" customWidth="1"/>
    <col min="10" max="10" width="1.140625" customWidth="1"/>
    <col min="11" max="11" width="1.5703125" customWidth="1"/>
    <col min="12" max="12" width="1.7109375" customWidth="1"/>
    <col min="13" max="13" width="2.140625" customWidth="1"/>
    <col min="14" max="14" width="17.5703125" customWidth="1"/>
    <col min="15" max="16" width="20.85546875" customWidth="1"/>
    <col min="17" max="17" width="10.140625" style="33" bestFit="1" customWidth="1"/>
    <col min="18" max="19" width="9.140625" style="33"/>
    <col min="20" max="20" width="11.7109375" style="33" bestFit="1" customWidth="1"/>
    <col min="21" max="21" width="11.7109375" bestFit="1" customWidth="1"/>
  </cols>
  <sheetData>
    <row r="1" spans="1:21" ht="43.5" customHeight="1" x14ac:dyDescent="0.25">
      <c r="A1" s="65"/>
      <c r="B1" s="65"/>
      <c r="C1" s="65"/>
      <c r="D1" s="65"/>
      <c r="E1" s="65"/>
      <c r="F1" s="241" t="s">
        <v>685</v>
      </c>
      <c r="G1" s="17" t="s">
        <v>458</v>
      </c>
      <c r="H1" s="17" t="s">
        <v>686</v>
      </c>
      <c r="I1" s="17" t="s">
        <v>687</v>
      </c>
      <c r="J1" s="17" t="s">
        <v>688</v>
      </c>
      <c r="K1" s="170" t="s">
        <v>689</v>
      </c>
      <c r="L1" s="17" t="s">
        <v>690</v>
      </c>
      <c r="M1" s="17" t="s">
        <v>707</v>
      </c>
      <c r="N1" s="262" t="s">
        <v>708</v>
      </c>
      <c r="O1" s="262" t="s">
        <v>847</v>
      </c>
      <c r="P1" s="262" t="s">
        <v>848</v>
      </c>
    </row>
    <row r="2" spans="1:21" x14ac:dyDescent="0.25">
      <c r="A2" s="549" t="s">
        <v>1</v>
      </c>
      <c r="B2" s="549"/>
      <c r="C2" s="549"/>
      <c r="D2" s="549"/>
      <c r="E2" s="550"/>
      <c r="F2" s="49" t="e">
        <f>F3+F9+F31+F43+F52</f>
        <v>#REF!</v>
      </c>
      <c r="G2" s="49" t="e">
        <f>G3+G9+G31+G43+G52</f>
        <v>#REF!</v>
      </c>
      <c r="H2" s="49" t="e">
        <f>H3+H9+H31+H43+H52</f>
        <v>#REF!</v>
      </c>
      <c r="I2" s="49" t="e">
        <f>I3+I9+I31+I43</f>
        <v>#REF!</v>
      </c>
      <c r="J2" s="49" t="e">
        <f>J3+J9+J31+J43+J52</f>
        <v>#REF!</v>
      </c>
      <c r="K2" s="242" t="e">
        <f>K3+K9+K31+K43+K52</f>
        <v>#REF!</v>
      </c>
      <c r="L2" s="49" t="e">
        <f>L3+L9+L31+L43+L52</f>
        <v>#REF!</v>
      </c>
      <c r="M2" s="49">
        <f>M3+M9+M31+M43+M52</f>
        <v>1814518</v>
      </c>
      <c r="N2" s="49">
        <f>N3+N9+N31+N43+N52</f>
        <v>2043686</v>
      </c>
      <c r="O2" s="49">
        <f t="shared" ref="O2:P2" si="0">O3+O9+O31+O43+O52</f>
        <v>2134101</v>
      </c>
      <c r="P2" s="49">
        <f t="shared" si="0"/>
        <v>2119040</v>
      </c>
    </row>
    <row r="3" spans="1:21" x14ac:dyDescent="0.25">
      <c r="A3" s="111">
        <v>61</v>
      </c>
      <c r="B3" s="551" t="s">
        <v>124</v>
      </c>
      <c r="C3" s="552"/>
      <c r="D3" s="552"/>
      <c r="E3" s="552"/>
      <c r="F3" s="221">
        <f>F4+F5+F6+F7+F8</f>
        <v>90773.109999999986</v>
      </c>
      <c r="G3" s="112">
        <f>G4+G5+G6+G7+G8</f>
        <v>277300</v>
      </c>
      <c r="H3" s="112">
        <f>H4+H5+H6+H7+H8</f>
        <v>32650</v>
      </c>
      <c r="I3" s="112">
        <f>I4+I5+I6+I7+I8</f>
        <v>309950</v>
      </c>
      <c r="J3" s="112">
        <f>J4+J5+J6+J7+J8</f>
        <v>309950</v>
      </c>
      <c r="K3" s="40">
        <f t="shared" ref="K3:M3" si="1">K4+K5+K6+K7+K8</f>
        <v>229506.96000000002</v>
      </c>
      <c r="L3" s="112">
        <f t="shared" si="1"/>
        <v>14650</v>
      </c>
      <c r="M3" s="112">
        <f t="shared" si="1"/>
        <v>324600</v>
      </c>
      <c r="N3" s="112">
        <f>N4+N5+N6+N7+N8</f>
        <v>348700</v>
      </c>
      <c r="O3" s="112">
        <f>O4+O5+O6+O7+O8</f>
        <v>337500</v>
      </c>
      <c r="P3" s="112">
        <f>P4+P5+P6+P7+P8</f>
        <v>332500</v>
      </c>
    </row>
    <row r="4" spans="1:21" x14ac:dyDescent="0.25">
      <c r="A4" s="71">
        <v>6111</v>
      </c>
      <c r="B4" s="553" t="s">
        <v>125</v>
      </c>
      <c r="C4" s="553"/>
      <c r="D4" s="553"/>
      <c r="E4" s="547"/>
      <c r="F4" s="231">
        <v>134523.49</v>
      </c>
      <c r="G4" s="40">
        <f>300000+3000</f>
        <v>303000</v>
      </c>
      <c r="H4" s="40">
        <f>20000+10000+10000+4000</f>
        <v>44000</v>
      </c>
      <c r="I4" s="40">
        <f>G4+H4</f>
        <v>347000</v>
      </c>
      <c r="J4" s="40">
        <f>G4+H4</f>
        <v>347000</v>
      </c>
      <c r="K4" s="40">
        <v>268637.01</v>
      </c>
      <c r="L4" s="40">
        <v>13000</v>
      </c>
      <c r="M4" s="40">
        <f>J4+L4</f>
        <v>360000</v>
      </c>
      <c r="N4" s="33">
        <f>360000+20000</f>
        <v>380000</v>
      </c>
      <c r="O4" s="33">
        <v>370000</v>
      </c>
      <c r="P4" s="33">
        <v>365000</v>
      </c>
      <c r="Q4" s="33" t="s">
        <v>691</v>
      </c>
      <c r="T4" s="33" t="s">
        <v>822</v>
      </c>
    </row>
    <row r="5" spans="1:21" x14ac:dyDescent="0.25">
      <c r="A5" s="71"/>
      <c r="B5" s="553" t="s">
        <v>126</v>
      </c>
      <c r="C5" s="553"/>
      <c r="D5" s="553"/>
      <c r="E5" s="547"/>
      <c r="F5" s="231">
        <v>-51314.54</v>
      </c>
      <c r="G5" s="40">
        <v>-40000</v>
      </c>
      <c r="H5" s="40">
        <v>-11350</v>
      </c>
      <c r="I5" s="40">
        <f>G5+H5</f>
        <v>-51350</v>
      </c>
      <c r="J5" s="40">
        <f t="shared" ref="J5:J8" si="2">G5+H5</f>
        <v>-51350</v>
      </c>
      <c r="K5" s="40">
        <v>-49695.519999999997</v>
      </c>
      <c r="L5" s="40">
        <v>1650</v>
      </c>
      <c r="M5" s="40">
        <f t="shared" ref="M5:M8" si="3">J5+L5</f>
        <v>-49700</v>
      </c>
      <c r="N5" s="33">
        <v>-45000</v>
      </c>
      <c r="O5" s="33">
        <v>-45000</v>
      </c>
      <c r="P5" s="33">
        <v>-45000</v>
      </c>
    </row>
    <row r="6" spans="1:21" x14ac:dyDescent="0.25">
      <c r="A6" s="71">
        <v>6131</v>
      </c>
      <c r="B6" s="71" t="s">
        <v>127</v>
      </c>
      <c r="C6" s="71"/>
      <c r="D6" s="71"/>
      <c r="E6" s="73"/>
      <c r="F6" s="231">
        <v>318</v>
      </c>
      <c r="G6" s="40">
        <v>800</v>
      </c>
      <c r="H6" s="40"/>
      <c r="I6" s="40">
        <f>G6+H6</f>
        <v>800</v>
      </c>
      <c r="J6" s="40">
        <f t="shared" si="2"/>
        <v>800</v>
      </c>
      <c r="K6" s="40">
        <v>642.36</v>
      </c>
      <c r="L6" s="40"/>
      <c r="M6" s="40">
        <f t="shared" si="3"/>
        <v>800</v>
      </c>
      <c r="N6" s="33">
        <v>700</v>
      </c>
      <c r="O6" s="33">
        <v>500</v>
      </c>
      <c r="P6" s="33">
        <v>500</v>
      </c>
      <c r="U6" s="33" t="e">
        <f>J4+J5+J6+J7+J8+J11+J13+J14+J16+J18+J19+J20+J22+J23+J24+J25+J26+J27+J28+J30+#REF!+J33+J34+#REF!+J35+#REF!+J36+J37+J38+J39+#REF!+J40+J41+J42+J45+J47+J48+J49+J50+J51+J56</f>
        <v>#REF!</v>
      </c>
    </row>
    <row r="7" spans="1:21" x14ac:dyDescent="0.25">
      <c r="A7" s="71">
        <v>6134</v>
      </c>
      <c r="B7" s="547" t="s">
        <v>128</v>
      </c>
      <c r="C7" s="548"/>
      <c r="D7" s="548"/>
      <c r="E7" s="548"/>
      <c r="F7" s="231">
        <v>5685.72</v>
      </c>
      <c r="G7" s="40">
        <v>10000</v>
      </c>
      <c r="H7" s="40"/>
      <c r="I7" s="40">
        <f>G7+H7</f>
        <v>10000</v>
      </c>
      <c r="J7" s="40">
        <f t="shared" si="2"/>
        <v>10000</v>
      </c>
      <c r="K7" s="40">
        <v>7273.79</v>
      </c>
      <c r="L7" s="40"/>
      <c r="M7" s="40">
        <f t="shared" si="3"/>
        <v>10000</v>
      </c>
      <c r="N7" s="33">
        <v>9500</v>
      </c>
      <c r="O7" s="33">
        <v>9000</v>
      </c>
      <c r="P7" s="33">
        <v>9000</v>
      </c>
    </row>
    <row r="8" spans="1:21" x14ac:dyDescent="0.25">
      <c r="A8" s="71">
        <v>6142</v>
      </c>
      <c r="B8" s="547" t="s">
        <v>692</v>
      </c>
      <c r="C8" s="548"/>
      <c r="D8" s="548"/>
      <c r="E8" s="548"/>
      <c r="F8" s="231">
        <v>1560.44</v>
      </c>
      <c r="G8" s="40">
        <v>3500</v>
      </c>
      <c r="H8" s="40"/>
      <c r="I8" s="40">
        <f>G8+H8</f>
        <v>3500</v>
      </c>
      <c r="J8" s="40">
        <f t="shared" si="2"/>
        <v>3500</v>
      </c>
      <c r="K8" s="40">
        <v>2649.32</v>
      </c>
      <c r="L8" s="40"/>
      <c r="M8" s="40">
        <f t="shared" si="3"/>
        <v>3500</v>
      </c>
      <c r="N8" s="33">
        <v>3500</v>
      </c>
      <c r="O8" s="33">
        <v>3000</v>
      </c>
      <c r="P8" s="33">
        <v>3000</v>
      </c>
    </row>
    <row r="9" spans="1:21" x14ac:dyDescent="0.25">
      <c r="A9" s="107">
        <v>63</v>
      </c>
      <c r="B9" s="108" t="s">
        <v>129</v>
      </c>
      <c r="C9" s="107"/>
      <c r="D9" s="107"/>
      <c r="E9" s="243"/>
      <c r="F9" s="554">
        <f>F11++F14+F16+F19+F20+F22+F24+F25+F26+F28+F30+F27+F23+F18+F13+F29+F12</f>
        <v>188890.44</v>
      </c>
      <c r="G9" s="554">
        <f>G11++G14+G16+G19+G20+G22+G24+G25+G26+G28+G30+G27+G23+G18+G13+G29+G12</f>
        <v>1090366</v>
      </c>
      <c r="H9" s="554">
        <f>H11++H14+H16+H19+H20+H22+H24+H25+H26+H28+H30+H27+H23+H18+H13+H29+H12+H15</f>
        <v>49142</v>
      </c>
      <c r="I9" s="554">
        <f>I11++I14+I16+I19+I20+I22+I24+I25+I26+I28+I30+I27+I18</f>
        <v>1100008</v>
      </c>
      <c r="J9" s="554">
        <f>J11++J14+J16+J19+J20+J22+J24+J25+J26+J28+J30+J27+J23+J18+J13+J29+J12+J15</f>
        <v>1139508</v>
      </c>
      <c r="K9" s="558">
        <f t="shared" ref="K9" si="4">K11++K14+K16+K19+K20+K22+K24+K25+K26+K28+K30+K27+K23+K18+K13+K29+K12+K15</f>
        <v>409853.8</v>
      </c>
      <c r="L9" s="554">
        <f>L11++L14+L16+L19+L20+L22+L24+L25+L26+L28+L30+L27+L23+L18+L13+L29+L12+L15+L21</f>
        <v>28220</v>
      </c>
      <c r="M9" s="554">
        <f>M11++M14+M16+M19+M20+M22+M24+M25+M26+M28+M30+M27+M23+M18+M13+M29+M12+M15+M21</f>
        <v>1167728</v>
      </c>
      <c r="N9" s="554">
        <f>N11++N14+N16+N19+N20+N22+N24+N25+N26+N28+N30+N27+N23+N18+N13+N29+N12+N15+N21+N17</f>
        <v>1307755</v>
      </c>
      <c r="O9" s="554">
        <f t="shared" ref="O9:P9" si="5">O11++O14+O16+O19+O20+O22+O24+O25+O26+O28+O30+O27+O23+O18+O13+O29+O12+O15+O21+O17</f>
        <v>1498581</v>
      </c>
      <c r="P9" s="554">
        <f t="shared" si="5"/>
        <v>1412220</v>
      </c>
    </row>
    <row r="10" spans="1:21" x14ac:dyDescent="0.25">
      <c r="A10" s="109" t="s">
        <v>130</v>
      </c>
      <c r="B10" s="109"/>
      <c r="C10" s="109"/>
      <c r="D10" s="110"/>
      <c r="E10" s="110"/>
      <c r="F10" s="554"/>
      <c r="G10" s="554"/>
      <c r="H10" s="554"/>
      <c r="I10" s="554"/>
      <c r="J10" s="554"/>
      <c r="K10" s="558"/>
      <c r="L10" s="554"/>
      <c r="M10" s="554"/>
      <c r="N10" s="554"/>
      <c r="O10" s="554"/>
      <c r="P10" s="554"/>
    </row>
    <row r="11" spans="1:21" x14ac:dyDescent="0.25">
      <c r="A11" s="71">
        <v>6331</v>
      </c>
      <c r="B11" s="71" t="s">
        <v>693</v>
      </c>
      <c r="C11" s="71"/>
      <c r="D11" s="71"/>
      <c r="E11" s="73"/>
      <c r="F11" s="231">
        <v>144992.65</v>
      </c>
      <c r="G11" s="40">
        <f>350000+10000</f>
        <v>360000</v>
      </c>
      <c r="H11" s="40"/>
      <c r="I11" s="40">
        <f t="shared" ref="I11:I30" si="6">G11+H11</f>
        <v>360000</v>
      </c>
      <c r="J11" s="40">
        <f>G11+H11</f>
        <v>360000</v>
      </c>
      <c r="K11" s="40">
        <f>318792.07-55680</f>
        <v>263112.07</v>
      </c>
      <c r="L11" s="40"/>
      <c r="M11" s="40">
        <f>J11+L11</f>
        <v>360000</v>
      </c>
      <c r="N11" s="33">
        <f>350000+20000</f>
        <v>370000</v>
      </c>
      <c r="O11" s="33">
        <v>350000</v>
      </c>
      <c r="P11" s="33">
        <v>340000</v>
      </c>
    </row>
    <row r="12" spans="1:21" x14ac:dyDescent="0.25">
      <c r="A12" s="71"/>
      <c r="B12" s="73" t="s">
        <v>694</v>
      </c>
      <c r="C12" s="76"/>
      <c r="D12" s="76"/>
      <c r="E12" s="76"/>
      <c r="F12" s="231"/>
      <c r="G12" s="40"/>
      <c r="H12" s="40">
        <f>2000+1000</f>
        <v>3000</v>
      </c>
      <c r="I12" s="40"/>
      <c r="J12" s="40">
        <f>G12+H12</f>
        <v>3000</v>
      </c>
      <c r="K12" s="40"/>
      <c r="L12" s="40"/>
      <c r="M12" s="40">
        <f t="shared" ref="M12:M30" si="7">J12+L12</f>
        <v>3000</v>
      </c>
      <c r="N12" s="33">
        <f>12000+2000</f>
        <v>14000</v>
      </c>
      <c r="O12" s="33"/>
      <c r="P12" s="33"/>
      <c r="Q12" s="33" t="s">
        <v>817</v>
      </c>
    </row>
    <row r="13" spans="1:21" x14ac:dyDescent="0.25">
      <c r="A13" s="71">
        <v>6331</v>
      </c>
      <c r="B13" s="547" t="s">
        <v>502</v>
      </c>
      <c r="C13" s="548"/>
      <c r="D13" s="548"/>
      <c r="E13" s="548"/>
      <c r="F13" s="231"/>
      <c r="G13" s="40">
        <v>22000</v>
      </c>
      <c r="H13" s="40"/>
      <c r="I13" s="40"/>
      <c r="J13" s="40">
        <f t="shared" ref="J13:J30" si="8">G13+H13</f>
        <v>22000</v>
      </c>
      <c r="K13" s="40"/>
      <c r="L13" s="40">
        <v>-14000</v>
      </c>
      <c r="M13" s="40">
        <f t="shared" si="7"/>
        <v>8000</v>
      </c>
      <c r="N13" s="33">
        <f>4000+10000</f>
        <v>14000</v>
      </c>
      <c r="O13" s="33"/>
      <c r="P13" s="33"/>
      <c r="Q13" s="33" t="s">
        <v>838</v>
      </c>
    </row>
    <row r="14" spans="1:21" x14ac:dyDescent="0.25">
      <c r="A14" s="71">
        <v>6331</v>
      </c>
      <c r="B14" s="71" t="s">
        <v>695</v>
      </c>
      <c r="C14" s="71"/>
      <c r="D14" s="73"/>
      <c r="E14" s="76" t="s">
        <v>131</v>
      </c>
      <c r="F14" s="231">
        <v>162</v>
      </c>
      <c r="G14" s="40">
        <v>486</v>
      </c>
      <c r="H14" s="40"/>
      <c r="I14" s="40">
        <f t="shared" si="6"/>
        <v>486</v>
      </c>
      <c r="J14" s="40">
        <f t="shared" si="8"/>
        <v>486</v>
      </c>
      <c r="K14" s="40">
        <v>162</v>
      </c>
      <c r="L14" s="40"/>
      <c r="M14" s="40">
        <f t="shared" si="7"/>
        <v>486</v>
      </c>
      <c r="N14" s="33">
        <v>119</v>
      </c>
      <c r="O14" s="33">
        <v>324</v>
      </c>
      <c r="P14" s="33">
        <v>226</v>
      </c>
    </row>
    <row r="15" spans="1:21" x14ac:dyDescent="0.25">
      <c r="A15" s="71">
        <v>63</v>
      </c>
      <c r="B15" s="71" t="s">
        <v>713</v>
      </c>
      <c r="C15" s="71"/>
      <c r="D15" s="73"/>
      <c r="E15" s="76"/>
      <c r="F15" s="231"/>
      <c r="G15" s="40"/>
      <c r="H15" s="40">
        <v>14500</v>
      </c>
      <c r="I15" s="40"/>
      <c r="J15" s="40">
        <f t="shared" si="8"/>
        <v>14500</v>
      </c>
      <c r="K15" s="40"/>
      <c r="L15" s="40"/>
      <c r="M15" s="40">
        <f t="shared" si="7"/>
        <v>14500</v>
      </c>
      <c r="N15" s="33">
        <v>1800</v>
      </c>
      <c r="O15" s="33"/>
      <c r="P15" s="33"/>
    </row>
    <row r="16" spans="1:21" x14ac:dyDescent="0.25">
      <c r="A16" s="71">
        <v>6332</v>
      </c>
      <c r="B16" s="555" t="s">
        <v>818</v>
      </c>
      <c r="C16" s="555"/>
      <c r="D16" s="555"/>
      <c r="E16" s="556"/>
      <c r="F16" s="244"/>
      <c r="G16" s="40">
        <f>20000+5000</f>
        <v>25000</v>
      </c>
      <c r="H16" s="40">
        <v>28000</v>
      </c>
      <c r="I16" s="40">
        <f t="shared" si="6"/>
        <v>53000</v>
      </c>
      <c r="J16" s="40">
        <f t="shared" si="8"/>
        <v>53000</v>
      </c>
      <c r="K16" s="40">
        <v>53000</v>
      </c>
      <c r="L16" s="40"/>
      <c r="M16" s="40">
        <f t="shared" si="7"/>
        <v>53000</v>
      </c>
      <c r="N16" s="33">
        <v>50000</v>
      </c>
      <c r="O16" s="33">
        <v>47000</v>
      </c>
      <c r="P16" s="33">
        <v>275000</v>
      </c>
    </row>
    <row r="17" spans="1:25" x14ac:dyDescent="0.25">
      <c r="A17" s="71"/>
      <c r="B17" s="162" t="s">
        <v>830</v>
      </c>
      <c r="C17" s="163"/>
      <c r="D17" s="163"/>
      <c r="E17" s="163"/>
      <c r="F17" s="244"/>
      <c r="G17" s="40"/>
      <c r="H17" s="40"/>
      <c r="I17" s="40"/>
      <c r="J17" s="40"/>
      <c r="K17" s="40"/>
      <c r="L17" s="40"/>
      <c r="M17" s="40"/>
      <c r="N17" s="33">
        <v>30000</v>
      </c>
      <c r="O17" s="33">
        <v>37000</v>
      </c>
      <c r="P17" s="33">
        <v>196000</v>
      </c>
    </row>
    <row r="18" spans="1:25" x14ac:dyDescent="0.25">
      <c r="A18" s="71">
        <v>6332</v>
      </c>
      <c r="B18" s="556" t="s">
        <v>639</v>
      </c>
      <c r="C18" s="557"/>
      <c r="D18" s="557"/>
      <c r="E18" s="557"/>
      <c r="F18" s="244">
        <v>34800</v>
      </c>
      <c r="G18" s="40">
        <f>75000+5000</f>
        <v>80000</v>
      </c>
      <c r="H18" s="40">
        <f>83520-80000</f>
        <v>3520</v>
      </c>
      <c r="I18" s="40">
        <f t="shared" si="6"/>
        <v>83520</v>
      </c>
      <c r="J18" s="40">
        <f t="shared" si="8"/>
        <v>83520</v>
      </c>
      <c r="K18" s="40">
        <v>55680</v>
      </c>
      <c r="L18" s="40"/>
      <c r="M18" s="40">
        <f t="shared" si="7"/>
        <v>83520</v>
      </c>
      <c r="N18" s="33">
        <f>90000+10000</f>
        <v>100000</v>
      </c>
      <c r="O18" s="33">
        <v>90000</v>
      </c>
      <c r="P18" s="33">
        <v>100000</v>
      </c>
      <c r="Q18" s="33" t="s">
        <v>696</v>
      </c>
    </row>
    <row r="19" spans="1:25" x14ac:dyDescent="0.25">
      <c r="A19" s="71">
        <v>6332</v>
      </c>
      <c r="B19" s="547" t="s">
        <v>132</v>
      </c>
      <c r="C19" s="548"/>
      <c r="D19" s="548"/>
      <c r="E19" s="548"/>
      <c r="F19" s="231"/>
      <c r="G19" s="40">
        <v>100000</v>
      </c>
      <c r="H19" s="40"/>
      <c r="I19" s="40">
        <f t="shared" si="6"/>
        <v>100000</v>
      </c>
      <c r="J19" s="40">
        <f t="shared" si="8"/>
        <v>100000</v>
      </c>
      <c r="K19" s="218"/>
      <c r="L19" s="40"/>
      <c r="M19" s="40">
        <f t="shared" si="7"/>
        <v>100000</v>
      </c>
      <c r="N19" s="33">
        <v>100000</v>
      </c>
      <c r="O19" s="33">
        <v>167000</v>
      </c>
      <c r="P19" s="33">
        <v>65000</v>
      </c>
      <c r="Q19" s="33" t="s">
        <v>812</v>
      </c>
    </row>
    <row r="20" spans="1:25" x14ac:dyDescent="0.25">
      <c r="A20" s="71">
        <v>6332</v>
      </c>
      <c r="B20" s="75" t="s">
        <v>697</v>
      </c>
      <c r="C20" s="75"/>
      <c r="D20" s="75"/>
      <c r="E20" s="245"/>
      <c r="F20" s="244">
        <v>636.9</v>
      </c>
      <c r="G20" s="40">
        <v>35000</v>
      </c>
      <c r="H20" s="40"/>
      <c r="I20" s="40">
        <f t="shared" si="6"/>
        <v>35000</v>
      </c>
      <c r="J20" s="40">
        <f t="shared" si="8"/>
        <v>35000</v>
      </c>
      <c r="K20" s="40">
        <v>20067.009999999998</v>
      </c>
      <c r="L20" s="40"/>
      <c r="M20" s="40">
        <f t="shared" si="7"/>
        <v>35000</v>
      </c>
      <c r="N20" s="33">
        <v>35000</v>
      </c>
      <c r="O20" s="33">
        <v>35000</v>
      </c>
      <c r="P20" s="33">
        <v>35000</v>
      </c>
    </row>
    <row r="21" spans="1:25" x14ac:dyDescent="0.25">
      <c r="A21" s="71"/>
      <c r="B21" s="75" t="s">
        <v>698</v>
      </c>
      <c r="C21" s="75"/>
      <c r="D21" s="75"/>
      <c r="E21" s="245"/>
      <c r="F21" s="244"/>
      <c r="G21" s="40"/>
      <c r="H21" s="40"/>
      <c r="I21" s="40"/>
      <c r="J21" s="40"/>
      <c r="K21" s="40"/>
      <c r="L21" s="40">
        <v>40000</v>
      </c>
      <c r="M21" s="40">
        <f t="shared" si="7"/>
        <v>40000</v>
      </c>
      <c r="N21" s="33">
        <v>50000</v>
      </c>
      <c r="O21" s="33"/>
      <c r="P21" s="33"/>
    </row>
    <row r="22" spans="1:25" x14ac:dyDescent="0.25">
      <c r="A22" s="71">
        <v>6332</v>
      </c>
      <c r="B22" s="555" t="s">
        <v>820</v>
      </c>
      <c r="C22" s="555"/>
      <c r="D22" s="555"/>
      <c r="E22" s="556"/>
      <c r="F22" s="244"/>
      <c r="G22" s="40">
        <f>30000+5000</f>
        <v>35000</v>
      </c>
      <c r="H22" s="40">
        <v>2000</v>
      </c>
      <c r="I22" s="40">
        <f t="shared" si="6"/>
        <v>37000</v>
      </c>
      <c r="J22" s="40">
        <f t="shared" si="8"/>
        <v>37000</v>
      </c>
      <c r="K22" s="40"/>
      <c r="L22" s="40">
        <v>-11900</v>
      </c>
      <c r="M22" s="40">
        <f t="shared" si="7"/>
        <v>25100</v>
      </c>
      <c r="N22" s="33">
        <v>20000</v>
      </c>
      <c r="O22" s="33">
        <v>180517</v>
      </c>
      <c r="P22" s="33">
        <v>138000</v>
      </c>
      <c r="Q22" s="33" t="s">
        <v>821</v>
      </c>
    </row>
    <row r="23" spans="1:25" x14ac:dyDescent="0.25">
      <c r="A23" s="71">
        <v>6332</v>
      </c>
      <c r="B23" s="556" t="s">
        <v>819</v>
      </c>
      <c r="C23" s="557"/>
      <c r="D23" s="557"/>
      <c r="E23" s="557"/>
      <c r="F23" s="244"/>
      <c r="G23" s="45">
        <f>40000+10000</f>
        <v>50000</v>
      </c>
      <c r="H23" s="45">
        <v>-50000</v>
      </c>
      <c r="I23" s="40">
        <f t="shared" si="6"/>
        <v>0</v>
      </c>
      <c r="J23" s="40">
        <f t="shared" si="8"/>
        <v>0</v>
      </c>
      <c r="K23" s="40"/>
      <c r="L23" s="40"/>
      <c r="M23" s="40">
        <f t="shared" si="7"/>
        <v>0</v>
      </c>
      <c r="N23" s="33">
        <v>70000</v>
      </c>
      <c r="O23" s="33">
        <v>250000</v>
      </c>
      <c r="P23" s="33"/>
    </row>
    <row r="24" spans="1:25" x14ac:dyDescent="0.25">
      <c r="A24" s="71">
        <v>6332</v>
      </c>
      <c r="B24" s="555" t="s">
        <v>699</v>
      </c>
      <c r="C24" s="555"/>
      <c r="D24" s="555"/>
      <c r="E24" s="556"/>
      <c r="F24" s="244"/>
      <c r="G24" s="40">
        <v>30000</v>
      </c>
      <c r="H24" s="40">
        <v>-30000</v>
      </c>
      <c r="I24" s="40">
        <f t="shared" si="6"/>
        <v>0</v>
      </c>
      <c r="J24" s="40">
        <f t="shared" si="8"/>
        <v>0</v>
      </c>
      <c r="K24" s="40"/>
      <c r="L24" s="40"/>
      <c r="M24" s="40">
        <f t="shared" si="7"/>
        <v>0</v>
      </c>
      <c r="N24" s="33">
        <v>0</v>
      </c>
      <c r="O24" s="33"/>
      <c r="P24" s="33">
        <v>59000</v>
      </c>
      <c r="Q24" s="33" t="s">
        <v>716</v>
      </c>
      <c r="R24" s="33" t="s">
        <v>715</v>
      </c>
      <c r="S24" s="33" t="s">
        <v>714</v>
      </c>
    </row>
    <row r="25" spans="1:25" x14ac:dyDescent="0.25">
      <c r="A25" s="71">
        <v>6341</v>
      </c>
      <c r="B25" s="547" t="s">
        <v>133</v>
      </c>
      <c r="C25" s="548"/>
      <c r="D25" s="548"/>
      <c r="E25" s="548"/>
      <c r="F25" s="231">
        <v>5991.6</v>
      </c>
      <c r="G25" s="40">
        <f>10080+240</f>
        <v>10320</v>
      </c>
      <c r="H25" s="40">
        <v>-4328</v>
      </c>
      <c r="I25" s="40">
        <f t="shared" si="6"/>
        <v>5992</v>
      </c>
      <c r="J25" s="40">
        <f t="shared" si="8"/>
        <v>5992</v>
      </c>
      <c r="K25" s="40">
        <v>5991.6</v>
      </c>
      <c r="L25" s="40"/>
      <c r="M25" s="40">
        <f t="shared" si="7"/>
        <v>5992</v>
      </c>
      <c r="N25" s="33">
        <f>Q25+S25+R25</f>
        <v>6901</v>
      </c>
      <c r="O25" s="33">
        <v>13840</v>
      </c>
      <c r="P25" s="33">
        <v>13840</v>
      </c>
      <c r="Q25" s="33">
        <f>970*6</f>
        <v>5820</v>
      </c>
      <c r="R25" s="33">
        <f>20*6</f>
        <v>120</v>
      </c>
      <c r="S25" s="33">
        <v>961</v>
      </c>
      <c r="T25" s="33" t="s">
        <v>717</v>
      </c>
    </row>
    <row r="26" spans="1:25" x14ac:dyDescent="0.25">
      <c r="A26" s="71">
        <v>6351</v>
      </c>
      <c r="B26" s="71" t="s">
        <v>134</v>
      </c>
      <c r="C26" s="71"/>
      <c r="D26" s="73"/>
      <c r="E26" s="76"/>
      <c r="F26" s="231"/>
      <c r="G26" s="40">
        <v>14000</v>
      </c>
      <c r="H26" s="40"/>
      <c r="I26" s="40">
        <f t="shared" si="6"/>
        <v>14000</v>
      </c>
      <c r="J26" s="40">
        <f t="shared" si="8"/>
        <v>14000</v>
      </c>
      <c r="K26" s="40"/>
      <c r="L26" s="40"/>
      <c r="M26" s="40">
        <f t="shared" si="7"/>
        <v>14000</v>
      </c>
      <c r="N26" s="33">
        <v>14000</v>
      </c>
      <c r="O26" s="33">
        <v>14000</v>
      </c>
      <c r="P26" s="33">
        <v>14000</v>
      </c>
      <c r="W26" t="s">
        <v>721</v>
      </c>
      <c r="Y26" t="s">
        <v>722</v>
      </c>
    </row>
    <row r="27" spans="1:25" x14ac:dyDescent="0.25">
      <c r="A27" s="71">
        <v>6381</v>
      </c>
      <c r="B27" s="162" t="s">
        <v>700</v>
      </c>
      <c r="C27" s="163"/>
      <c r="D27" s="163"/>
      <c r="E27" s="163"/>
      <c r="F27" s="244"/>
      <c r="G27" s="40">
        <v>86560</v>
      </c>
      <c r="H27" s="40">
        <v>2450</v>
      </c>
      <c r="I27" s="40">
        <f t="shared" si="6"/>
        <v>89010</v>
      </c>
      <c r="J27" s="40">
        <f t="shared" si="8"/>
        <v>89010</v>
      </c>
      <c r="K27" s="40">
        <v>7724.36</v>
      </c>
      <c r="L27" s="40"/>
      <c r="M27" s="40">
        <f t="shared" si="7"/>
        <v>89010</v>
      </c>
      <c r="N27" s="33">
        <f>T27+U27+V27+W27+Y27</f>
        <v>106185</v>
      </c>
      <c r="O27" s="33">
        <v>106200</v>
      </c>
      <c r="P27" s="33">
        <v>24800</v>
      </c>
      <c r="Q27" s="33" t="s">
        <v>701</v>
      </c>
      <c r="T27" s="33">
        <f>970*7*12</f>
        <v>81480</v>
      </c>
      <c r="U27">
        <v>13445</v>
      </c>
      <c r="V27">
        <f>50*7*12</f>
        <v>4200</v>
      </c>
      <c r="W27">
        <f>700*7</f>
        <v>4900</v>
      </c>
      <c r="Y27">
        <f>180*12</f>
        <v>2160</v>
      </c>
    </row>
    <row r="28" spans="1:25" x14ac:dyDescent="0.25">
      <c r="A28" s="71">
        <v>6332</v>
      </c>
      <c r="B28" s="556" t="s">
        <v>702</v>
      </c>
      <c r="C28" s="557"/>
      <c r="D28" s="557"/>
      <c r="E28" s="557"/>
      <c r="F28" s="244"/>
      <c r="G28" s="40">
        <v>12000</v>
      </c>
      <c r="H28" s="40">
        <v>-12000</v>
      </c>
      <c r="I28" s="40">
        <f t="shared" si="6"/>
        <v>0</v>
      </c>
      <c r="J28" s="40">
        <f t="shared" si="8"/>
        <v>0</v>
      </c>
      <c r="K28" s="40"/>
      <c r="L28" s="40">
        <v>10000</v>
      </c>
      <c r="M28" s="40">
        <f t="shared" si="7"/>
        <v>10000</v>
      </c>
      <c r="N28" s="33">
        <v>10000</v>
      </c>
      <c r="O28" s="33"/>
      <c r="P28" s="33"/>
    </row>
    <row r="29" spans="1:25" x14ac:dyDescent="0.25">
      <c r="A29" s="71">
        <v>638</v>
      </c>
      <c r="B29" s="162" t="s">
        <v>703</v>
      </c>
      <c r="C29" s="163"/>
      <c r="D29" s="163"/>
      <c r="E29" s="163"/>
      <c r="F29" s="244">
        <v>2307.29</v>
      </c>
      <c r="G29" s="40"/>
      <c r="H29" s="40"/>
      <c r="I29" s="40"/>
      <c r="J29" s="40"/>
      <c r="K29" s="40">
        <f>1809.47+2307.29</f>
        <v>4116.76</v>
      </c>
      <c r="L29" s="40">
        <v>4120</v>
      </c>
      <c r="M29" s="40">
        <f t="shared" si="7"/>
        <v>4120</v>
      </c>
      <c r="N29" s="33"/>
      <c r="O29" s="33"/>
      <c r="P29" s="33"/>
    </row>
    <row r="30" spans="1:25" x14ac:dyDescent="0.25">
      <c r="A30" s="71">
        <v>6332</v>
      </c>
      <c r="B30" s="553" t="s">
        <v>492</v>
      </c>
      <c r="C30" s="553"/>
      <c r="D30" s="553"/>
      <c r="E30" s="547"/>
      <c r="F30" s="231"/>
      <c r="G30" s="40">
        <v>230000</v>
      </c>
      <c r="H30" s="40">
        <v>92000</v>
      </c>
      <c r="I30" s="40">
        <f t="shared" si="6"/>
        <v>322000</v>
      </c>
      <c r="J30" s="40">
        <f t="shared" si="8"/>
        <v>322000</v>
      </c>
      <c r="K30" s="40"/>
      <c r="L30" s="40"/>
      <c r="M30" s="40">
        <f t="shared" si="7"/>
        <v>322000</v>
      </c>
      <c r="N30" s="33">
        <v>315750</v>
      </c>
      <c r="O30" s="33">
        <v>207700</v>
      </c>
      <c r="P30" s="33">
        <v>151354</v>
      </c>
      <c r="Q30" s="33" t="s">
        <v>807</v>
      </c>
    </row>
    <row r="31" spans="1:25" x14ac:dyDescent="0.25">
      <c r="A31" s="111">
        <v>64</v>
      </c>
      <c r="B31" s="111" t="s">
        <v>135</v>
      </c>
      <c r="C31" s="111"/>
      <c r="D31" s="113"/>
      <c r="E31" s="246"/>
      <c r="F31" s="221" t="e">
        <f>F33+F34+F35+#REF!+F36+F37+F39+F41+F42+#REF!+F40+F38+#REF!+F32</f>
        <v>#REF!</v>
      </c>
      <c r="G31" s="116" t="e">
        <f>G33+G34+G35+#REF!+G36+G37+G39+G41+G42+#REF!+G40+G38+#REF!+G32</f>
        <v>#REF!</v>
      </c>
      <c r="H31" s="116" t="e">
        <f>H33+H34+H35+#REF!+H36+H37+H39+H41+H42+#REF!+H38+H40+#REF!+H32</f>
        <v>#REF!</v>
      </c>
      <c r="I31" s="116" t="e">
        <f>I33+I34+I35+#REF!+I36+I37+I39+#REF!+I41+I42+#REF!+I38+I40+#REF!</f>
        <v>#REF!</v>
      </c>
      <c r="J31" s="116" t="e">
        <f>J33+J34+J35+#REF!+J36+J37+J39+J41+J42+#REF!+J40+J38+#REF!+J32</f>
        <v>#REF!</v>
      </c>
      <c r="K31" s="242" t="e">
        <f>K33+K34+K35+#REF!+K36+K37+K39+K41+K42+#REF!+K40+K38+#REF!+K32</f>
        <v>#REF!</v>
      </c>
      <c r="L31" s="116" t="e">
        <f>L33+L34+L35+#REF!+L36+L37+L39+L41+L42+#REF!+L40+L38+#REF!+L32</f>
        <v>#REF!</v>
      </c>
      <c r="M31" s="116">
        <f>M33+M34+M35+M36+M37+M39+M41+M42+M40+M38+M32</f>
        <v>199540</v>
      </c>
      <c r="N31" s="116">
        <f>N33+N34+N35+N36+N37+N39+N41+N42+N40+N38+N32</f>
        <v>198273</v>
      </c>
      <c r="O31" s="116">
        <f>O33+O34+O35+O36+O37+O39+O41+O42+O40+O38+O32</f>
        <v>166220</v>
      </c>
      <c r="P31" s="116">
        <f>P33+P34+P35+P36+P37+P39+P41+P42+P40+P38+P32</f>
        <v>268220</v>
      </c>
    </row>
    <row r="32" spans="1:25" x14ac:dyDescent="0.25">
      <c r="A32" s="71">
        <v>6141</v>
      </c>
      <c r="B32" s="71" t="s">
        <v>640</v>
      </c>
      <c r="C32" s="71"/>
      <c r="D32" s="73"/>
      <c r="E32" s="76"/>
      <c r="F32" s="231">
        <v>118.06</v>
      </c>
      <c r="G32" s="40">
        <v>100</v>
      </c>
      <c r="H32" s="40"/>
      <c r="I32" s="40"/>
      <c r="J32" s="40">
        <f>G32+H32</f>
        <v>100</v>
      </c>
      <c r="K32" s="40">
        <v>118.06</v>
      </c>
      <c r="L32" s="40"/>
      <c r="M32" s="40">
        <f t="shared" ref="M32:M42" si="9">J32+L32</f>
        <v>100</v>
      </c>
      <c r="N32" s="33">
        <v>50</v>
      </c>
      <c r="O32" s="33">
        <v>100</v>
      </c>
      <c r="P32" s="33">
        <v>50</v>
      </c>
    </row>
    <row r="33" spans="1:17" x14ac:dyDescent="0.25">
      <c r="A33" s="71">
        <v>6421</v>
      </c>
      <c r="B33" s="71" t="s">
        <v>136</v>
      </c>
      <c r="C33" s="71"/>
      <c r="D33" s="71"/>
      <c r="E33" s="73"/>
      <c r="F33" s="231"/>
      <c r="G33" s="40">
        <v>800</v>
      </c>
      <c r="H33" s="40"/>
      <c r="I33" s="40">
        <f t="shared" ref="I33:I42" si="10">G33+H33</f>
        <v>800</v>
      </c>
      <c r="J33" s="40">
        <f t="shared" ref="J33:J42" si="11">G33+H33</f>
        <v>800</v>
      </c>
      <c r="K33" s="40"/>
      <c r="L33" s="40"/>
      <c r="M33" s="40">
        <f t="shared" si="9"/>
        <v>800</v>
      </c>
      <c r="N33" s="33">
        <v>800</v>
      </c>
      <c r="O33" s="33">
        <v>800</v>
      </c>
      <c r="P33" s="33">
        <v>800</v>
      </c>
    </row>
    <row r="34" spans="1:17" x14ac:dyDescent="0.25">
      <c r="A34" s="71">
        <v>6421</v>
      </c>
      <c r="B34" s="71" t="s">
        <v>137</v>
      </c>
      <c r="C34" s="71"/>
      <c r="D34" s="73"/>
      <c r="E34" s="76"/>
      <c r="F34" s="231"/>
      <c r="G34" s="40">
        <v>2000</v>
      </c>
      <c r="H34" s="40"/>
      <c r="I34" s="40">
        <f t="shared" si="10"/>
        <v>2000</v>
      </c>
      <c r="J34" s="40">
        <f t="shared" si="11"/>
        <v>2000</v>
      </c>
      <c r="K34" s="40"/>
      <c r="L34" s="40"/>
      <c r="M34" s="40">
        <f t="shared" si="9"/>
        <v>2000</v>
      </c>
      <c r="N34" s="33">
        <v>2000</v>
      </c>
      <c r="O34" s="33">
        <v>2000</v>
      </c>
      <c r="P34" s="33">
        <v>2000</v>
      </c>
    </row>
    <row r="35" spans="1:17" x14ac:dyDescent="0.25">
      <c r="A35" s="71">
        <v>6422</v>
      </c>
      <c r="B35" s="71" t="s">
        <v>138</v>
      </c>
      <c r="C35" s="71"/>
      <c r="D35" s="71"/>
      <c r="E35" s="73"/>
      <c r="F35" s="231">
        <v>8074.63</v>
      </c>
      <c r="G35" s="40">
        <f>22000+3000</f>
        <v>25000</v>
      </c>
      <c r="H35" s="40"/>
      <c r="I35" s="40">
        <f t="shared" si="10"/>
        <v>25000</v>
      </c>
      <c r="J35" s="40">
        <f t="shared" si="11"/>
        <v>25000</v>
      </c>
      <c r="K35" s="40">
        <v>12872.45</v>
      </c>
      <c r="L35" s="40"/>
      <c r="M35" s="40">
        <f t="shared" si="9"/>
        <v>25000</v>
      </c>
      <c r="N35" s="33">
        <f>20000+5000</f>
        <v>25000</v>
      </c>
      <c r="O35" s="33">
        <v>15000</v>
      </c>
      <c r="P35" s="33">
        <v>10000</v>
      </c>
    </row>
    <row r="36" spans="1:17" x14ac:dyDescent="0.25">
      <c r="A36" s="71">
        <v>6422</v>
      </c>
      <c r="B36" s="547" t="s">
        <v>550</v>
      </c>
      <c r="C36" s="548"/>
      <c r="D36" s="548"/>
      <c r="E36" s="548"/>
      <c r="F36" s="231">
        <v>4.55</v>
      </c>
      <c r="G36" s="40">
        <v>130</v>
      </c>
      <c r="H36" s="40"/>
      <c r="I36" s="40">
        <f t="shared" si="10"/>
        <v>130</v>
      </c>
      <c r="J36" s="40">
        <f t="shared" si="11"/>
        <v>130</v>
      </c>
      <c r="K36" s="40">
        <v>64.95</v>
      </c>
      <c r="L36" s="40"/>
      <c r="M36" s="40">
        <f t="shared" si="9"/>
        <v>130</v>
      </c>
      <c r="N36" s="33">
        <v>83</v>
      </c>
      <c r="O36" s="33">
        <v>50</v>
      </c>
      <c r="P36" s="33">
        <v>50</v>
      </c>
      <c r="Q36" s="33" t="s">
        <v>709</v>
      </c>
    </row>
    <row r="37" spans="1:17" x14ac:dyDescent="0.25">
      <c r="A37" s="71">
        <v>6422</v>
      </c>
      <c r="B37" s="71" t="s">
        <v>139</v>
      </c>
      <c r="C37" s="71"/>
      <c r="D37" s="71"/>
      <c r="E37" s="73"/>
      <c r="F37" s="231"/>
      <c r="G37" s="40">
        <v>50</v>
      </c>
      <c r="H37" s="40"/>
      <c r="I37" s="40">
        <f t="shared" si="10"/>
        <v>50</v>
      </c>
      <c r="J37" s="40">
        <f t="shared" si="11"/>
        <v>50</v>
      </c>
      <c r="K37" s="40"/>
      <c r="L37" s="40"/>
      <c r="M37" s="40">
        <f t="shared" si="9"/>
        <v>50</v>
      </c>
      <c r="N37" s="33">
        <v>30</v>
      </c>
      <c r="O37" s="33">
        <v>20</v>
      </c>
      <c r="P37" s="33">
        <v>20</v>
      </c>
    </row>
    <row r="38" spans="1:17" x14ac:dyDescent="0.25">
      <c r="A38" s="71">
        <v>6423</v>
      </c>
      <c r="B38" s="71" t="s">
        <v>457</v>
      </c>
      <c r="C38" s="71"/>
      <c r="D38" s="73"/>
      <c r="E38" s="76"/>
      <c r="F38" s="231">
        <v>59.85</v>
      </c>
      <c r="G38" s="40">
        <v>250</v>
      </c>
      <c r="H38" s="40"/>
      <c r="I38" s="40">
        <f t="shared" si="10"/>
        <v>250</v>
      </c>
      <c r="J38" s="40">
        <f t="shared" si="11"/>
        <v>250</v>
      </c>
      <c r="K38" s="40">
        <v>59.85</v>
      </c>
      <c r="L38" s="40"/>
      <c r="M38" s="40">
        <f t="shared" si="9"/>
        <v>250</v>
      </c>
      <c r="N38" s="33">
        <v>100</v>
      </c>
      <c r="O38" s="33">
        <v>50</v>
      </c>
      <c r="P38" s="33">
        <v>100</v>
      </c>
    </row>
    <row r="39" spans="1:17" x14ac:dyDescent="0.25">
      <c r="A39" s="71">
        <v>6423</v>
      </c>
      <c r="B39" s="71" t="s">
        <v>140</v>
      </c>
      <c r="C39" s="71"/>
      <c r="D39" s="73"/>
      <c r="E39" s="76"/>
      <c r="F39" s="231">
        <v>44.55</v>
      </c>
      <c r="G39" s="40">
        <v>60</v>
      </c>
      <c r="H39" s="40"/>
      <c r="I39" s="40">
        <f t="shared" si="10"/>
        <v>60</v>
      </c>
      <c r="J39" s="40">
        <f t="shared" si="11"/>
        <v>60</v>
      </c>
      <c r="K39" s="40">
        <v>44.55</v>
      </c>
      <c r="L39" s="40"/>
      <c r="M39" s="40">
        <f t="shared" si="9"/>
        <v>60</v>
      </c>
      <c r="N39" s="33">
        <v>60</v>
      </c>
      <c r="O39" s="33">
        <v>50</v>
      </c>
      <c r="P39" s="33">
        <v>50</v>
      </c>
    </row>
    <row r="40" spans="1:17" x14ac:dyDescent="0.25">
      <c r="A40" s="71">
        <v>6423</v>
      </c>
      <c r="B40" s="160" t="s">
        <v>642</v>
      </c>
      <c r="C40" s="161"/>
      <c r="D40" s="161"/>
      <c r="E40" s="161"/>
      <c r="F40" s="231"/>
      <c r="G40" s="40">
        <v>100</v>
      </c>
      <c r="H40" s="40"/>
      <c r="I40" s="40">
        <f t="shared" si="10"/>
        <v>100</v>
      </c>
      <c r="J40" s="40">
        <f t="shared" si="11"/>
        <v>100</v>
      </c>
      <c r="K40" s="40"/>
      <c r="L40" s="40"/>
      <c r="M40" s="40">
        <f t="shared" si="9"/>
        <v>100</v>
      </c>
      <c r="N40" s="33">
        <v>100</v>
      </c>
      <c r="O40" s="33">
        <v>100</v>
      </c>
      <c r="P40" s="33">
        <v>100</v>
      </c>
    </row>
    <row r="41" spans="1:17" x14ac:dyDescent="0.25">
      <c r="A41" s="71">
        <v>6423</v>
      </c>
      <c r="B41" s="71" t="s">
        <v>141</v>
      </c>
      <c r="C41" s="71"/>
      <c r="D41" s="71"/>
      <c r="E41" s="73"/>
      <c r="F41" s="231">
        <v>59105.29</v>
      </c>
      <c r="G41" s="40">
        <f>170000+10000+2000</f>
        <v>182000</v>
      </c>
      <c r="H41" s="40"/>
      <c r="I41" s="40">
        <f t="shared" si="10"/>
        <v>182000</v>
      </c>
      <c r="J41" s="40">
        <f t="shared" si="11"/>
        <v>182000</v>
      </c>
      <c r="K41" s="40">
        <v>102100.24</v>
      </c>
      <c r="L41" s="40">
        <v>-16000</v>
      </c>
      <c r="M41" s="40">
        <f t="shared" si="9"/>
        <v>166000</v>
      </c>
      <c r="N41" s="33">
        <f>150000+10000+5000</f>
        <v>165000</v>
      </c>
      <c r="O41" s="33">
        <v>143000</v>
      </c>
      <c r="P41" s="33">
        <v>250000</v>
      </c>
    </row>
    <row r="42" spans="1:17" x14ac:dyDescent="0.25">
      <c r="A42" s="71">
        <v>6423</v>
      </c>
      <c r="B42" s="71" t="s">
        <v>142</v>
      </c>
      <c r="C42" s="71"/>
      <c r="D42" s="71"/>
      <c r="E42" s="73"/>
      <c r="F42" s="231">
        <v>5056.74</v>
      </c>
      <c r="G42" s="40">
        <v>5050</v>
      </c>
      <c r="H42" s="40"/>
      <c r="I42" s="40">
        <f t="shared" si="10"/>
        <v>5050</v>
      </c>
      <c r="J42" s="40">
        <f t="shared" si="11"/>
        <v>5050</v>
      </c>
      <c r="K42" s="40">
        <v>5056.74</v>
      </c>
      <c r="L42" s="40"/>
      <c r="M42" s="40">
        <f t="shared" si="9"/>
        <v>5050</v>
      </c>
      <c r="N42" s="33">
        <v>5050</v>
      </c>
      <c r="O42" s="33">
        <v>5050</v>
      </c>
      <c r="P42" s="33">
        <v>5050</v>
      </c>
    </row>
    <row r="43" spans="1:17" x14ac:dyDescent="0.25">
      <c r="A43" s="107">
        <v>65</v>
      </c>
      <c r="B43" s="564" t="s">
        <v>704</v>
      </c>
      <c r="C43" s="565"/>
      <c r="D43" s="565"/>
      <c r="E43" s="566"/>
      <c r="F43" s="247">
        <f>F45+F47+F48+F49+F50+F51</f>
        <v>48115.31</v>
      </c>
      <c r="G43" s="248">
        <f>G45+G47+G48+G49+G50+G51</f>
        <v>121465</v>
      </c>
      <c r="H43" s="248">
        <f>H45+H47+H48+H49+H50+H51</f>
        <v>0</v>
      </c>
      <c r="I43" s="116">
        <f>I45+I47+I48+I49+I50+I51</f>
        <v>121465</v>
      </c>
      <c r="J43" s="248">
        <f>J45+J47+J48+J49+J50+J51</f>
        <v>121465</v>
      </c>
      <c r="K43" s="242">
        <f>K45+K47+K48+K49+K50+K51+K46</f>
        <v>72234.819999999992</v>
      </c>
      <c r="L43" s="116">
        <f t="shared" ref="L43:M43" si="12">L45+L47+L48+L49+L50+L51+L46</f>
        <v>185</v>
      </c>
      <c r="M43" s="116">
        <f t="shared" si="12"/>
        <v>121650</v>
      </c>
      <c r="N43" s="116">
        <f>N45+N47+N48+N49+N50+N51+N46</f>
        <v>188008</v>
      </c>
      <c r="O43" s="116">
        <f>O45+O47+O48+O49+O50+O51+O46</f>
        <v>130800</v>
      </c>
      <c r="P43" s="116">
        <f>P45+P47+P48+P49+P50+P51+P46</f>
        <v>105100</v>
      </c>
    </row>
    <row r="44" spans="1:17" x14ac:dyDescent="0.25">
      <c r="A44" s="249"/>
      <c r="B44" s="567" t="s">
        <v>705</v>
      </c>
      <c r="C44" s="568"/>
      <c r="D44" s="568"/>
      <c r="E44" s="569"/>
      <c r="F44" s="250"/>
      <c r="G44" s="251"/>
      <c r="H44" s="251"/>
      <c r="I44" s="116"/>
      <c r="J44" s="251"/>
      <c r="K44" s="242"/>
      <c r="L44" s="116"/>
      <c r="M44" s="116"/>
      <c r="N44" s="263"/>
      <c r="O44" s="263"/>
      <c r="P44" s="263"/>
    </row>
    <row r="45" spans="1:17" x14ac:dyDescent="0.25">
      <c r="A45" s="71">
        <v>6512</v>
      </c>
      <c r="B45" s="71" t="s">
        <v>143</v>
      </c>
      <c r="C45" s="71"/>
      <c r="D45" s="73"/>
      <c r="E45" s="76"/>
      <c r="F45" s="231">
        <v>5403.51</v>
      </c>
      <c r="G45" s="40">
        <v>12000</v>
      </c>
      <c r="H45" s="40"/>
      <c r="I45" s="40">
        <f t="shared" ref="I45:I51" si="13">G45+H45</f>
        <v>12000</v>
      </c>
      <c r="J45" s="252">
        <f>G45+H45</f>
        <v>12000</v>
      </c>
      <c r="K45" s="40">
        <v>9850.15</v>
      </c>
      <c r="L45" s="40"/>
      <c r="M45" s="40">
        <f>J45+L45</f>
        <v>12000</v>
      </c>
      <c r="N45" s="33">
        <v>12000</v>
      </c>
      <c r="O45" s="33">
        <v>11000</v>
      </c>
      <c r="P45" s="33">
        <v>12000</v>
      </c>
    </row>
    <row r="46" spans="1:17" x14ac:dyDescent="0.25">
      <c r="A46" s="71">
        <v>6514</v>
      </c>
      <c r="B46" s="71" t="s">
        <v>706</v>
      </c>
      <c r="C46" s="73"/>
      <c r="D46" s="76"/>
      <c r="E46" s="76"/>
      <c r="F46" s="231"/>
      <c r="G46" s="40"/>
      <c r="H46" s="40"/>
      <c r="I46" s="40"/>
      <c r="J46" s="252"/>
      <c r="K46" s="40">
        <v>119.43</v>
      </c>
      <c r="L46" s="40">
        <v>185</v>
      </c>
      <c r="M46" s="40">
        <f t="shared" ref="M46:M51" si="14">J46+L46</f>
        <v>185</v>
      </c>
      <c r="N46" s="33">
        <v>300</v>
      </c>
      <c r="O46" s="33">
        <v>500</v>
      </c>
      <c r="P46" s="33">
        <v>300</v>
      </c>
    </row>
    <row r="47" spans="1:17" x14ac:dyDescent="0.25">
      <c r="A47" s="71">
        <v>6522</v>
      </c>
      <c r="B47" s="71" t="s">
        <v>144</v>
      </c>
      <c r="C47" s="73"/>
      <c r="D47" s="76"/>
      <c r="E47" s="76"/>
      <c r="F47" s="231">
        <v>138.31</v>
      </c>
      <c r="G47" s="40">
        <v>50</v>
      </c>
      <c r="H47" s="40"/>
      <c r="I47" s="40">
        <f t="shared" si="13"/>
        <v>50</v>
      </c>
      <c r="J47" s="252">
        <f t="shared" ref="J47:J51" si="15">G47+H47</f>
        <v>50</v>
      </c>
      <c r="K47" s="40">
        <v>148.38999999999999</v>
      </c>
      <c r="L47" s="40"/>
      <c r="M47" s="40">
        <f t="shared" si="14"/>
        <v>50</v>
      </c>
      <c r="N47" s="33">
        <v>200</v>
      </c>
      <c r="O47" s="33">
        <v>100</v>
      </c>
      <c r="P47" s="33">
        <v>100</v>
      </c>
    </row>
    <row r="48" spans="1:17" x14ac:dyDescent="0.25">
      <c r="A48" s="71">
        <v>6524</v>
      </c>
      <c r="B48" s="71" t="s">
        <v>145</v>
      </c>
      <c r="C48" s="73"/>
      <c r="D48" s="76"/>
      <c r="E48" s="76"/>
      <c r="F48" s="231">
        <v>21984.93</v>
      </c>
      <c r="G48" s="40">
        <f>60000+2000</f>
        <v>62000</v>
      </c>
      <c r="H48" s="40"/>
      <c r="I48" s="40">
        <f t="shared" si="13"/>
        <v>62000</v>
      </c>
      <c r="J48" s="252">
        <f t="shared" si="15"/>
        <v>62000</v>
      </c>
      <c r="K48" s="40">
        <v>29009.97</v>
      </c>
      <c r="L48" s="40"/>
      <c r="M48" s="40">
        <f t="shared" si="14"/>
        <v>62000</v>
      </c>
      <c r="N48" s="33">
        <f>110000+5000</f>
        <v>115000</v>
      </c>
      <c r="O48" s="33">
        <v>60000</v>
      </c>
      <c r="P48" s="33">
        <v>35000</v>
      </c>
      <c r="Q48" s="33" t="s">
        <v>832</v>
      </c>
    </row>
    <row r="49" spans="1:17" x14ac:dyDescent="0.25">
      <c r="A49" s="71">
        <v>6526</v>
      </c>
      <c r="B49" s="547" t="s">
        <v>146</v>
      </c>
      <c r="C49" s="548"/>
      <c r="D49" s="548"/>
      <c r="E49" s="548"/>
      <c r="F49" s="231">
        <v>13491.84</v>
      </c>
      <c r="G49" s="40">
        <v>31847</v>
      </c>
      <c r="H49" s="40"/>
      <c r="I49" s="40">
        <f t="shared" si="13"/>
        <v>31847</v>
      </c>
      <c r="J49" s="252">
        <f t="shared" si="15"/>
        <v>31847</v>
      </c>
      <c r="K49" s="40">
        <f>318.53+19567.75</f>
        <v>19886.28</v>
      </c>
      <c r="L49" s="40"/>
      <c r="M49" s="40">
        <f t="shared" si="14"/>
        <v>31847</v>
      </c>
      <c r="N49" s="33">
        <v>43508</v>
      </c>
      <c r="O49" s="33">
        <v>44200</v>
      </c>
      <c r="P49" s="33">
        <v>42700</v>
      </c>
    </row>
    <row r="50" spans="1:17" x14ac:dyDescent="0.25">
      <c r="A50" s="71">
        <v>6531</v>
      </c>
      <c r="B50" s="547" t="s">
        <v>147</v>
      </c>
      <c r="C50" s="548"/>
      <c r="D50" s="548"/>
      <c r="E50" s="548"/>
      <c r="F50" s="231"/>
      <c r="G50" s="40">
        <v>100</v>
      </c>
      <c r="H50" s="40"/>
      <c r="I50" s="40">
        <f t="shared" si="13"/>
        <v>100</v>
      </c>
      <c r="J50" s="252">
        <f t="shared" si="15"/>
        <v>100</v>
      </c>
      <c r="K50" s="40"/>
      <c r="L50" s="40"/>
      <c r="M50" s="40">
        <f t="shared" si="14"/>
        <v>100</v>
      </c>
      <c r="N50" s="33">
        <v>0</v>
      </c>
      <c r="O50" s="33"/>
      <c r="P50" s="33"/>
    </row>
    <row r="51" spans="1:17" x14ac:dyDescent="0.25">
      <c r="A51" s="71">
        <v>6532</v>
      </c>
      <c r="B51" s="547" t="s">
        <v>148</v>
      </c>
      <c r="C51" s="548"/>
      <c r="D51" s="548"/>
      <c r="E51" s="548"/>
      <c r="F51" s="231">
        <v>7096.72</v>
      </c>
      <c r="G51" s="40">
        <f>15000+468</f>
        <v>15468</v>
      </c>
      <c r="H51" s="40"/>
      <c r="I51" s="40">
        <f t="shared" si="13"/>
        <v>15468</v>
      </c>
      <c r="J51" s="252">
        <f t="shared" si="15"/>
        <v>15468</v>
      </c>
      <c r="K51" s="40">
        <v>13220.6</v>
      </c>
      <c r="L51" s="40"/>
      <c r="M51" s="40">
        <f t="shared" si="14"/>
        <v>15468</v>
      </c>
      <c r="N51" s="33">
        <f>15000+2000</f>
        <v>17000</v>
      </c>
      <c r="O51" s="33">
        <v>15000</v>
      </c>
      <c r="P51" s="33">
        <v>15000</v>
      </c>
    </row>
    <row r="52" spans="1:17" x14ac:dyDescent="0.25">
      <c r="A52" s="111">
        <v>66</v>
      </c>
      <c r="B52" s="214" t="s">
        <v>641</v>
      </c>
      <c r="C52" s="215"/>
      <c r="D52" s="215"/>
      <c r="E52" s="215"/>
      <c r="F52" s="253">
        <f>F53</f>
        <v>107.27</v>
      </c>
      <c r="G52" s="253">
        <f t="shared" ref="G52:H52" si="16">G53</f>
        <v>0</v>
      </c>
      <c r="H52" s="253">
        <f t="shared" si="16"/>
        <v>1000</v>
      </c>
      <c r="I52" s="253">
        <f>I53</f>
        <v>0</v>
      </c>
      <c r="J52" s="254">
        <f t="shared" ref="J52:P52" si="17">J53</f>
        <v>1000</v>
      </c>
      <c r="K52" s="235">
        <f t="shared" si="17"/>
        <v>371.12</v>
      </c>
      <c r="L52" s="253">
        <f t="shared" si="17"/>
        <v>0</v>
      </c>
      <c r="M52" s="253">
        <f t="shared" si="17"/>
        <v>1000</v>
      </c>
      <c r="N52" s="253">
        <f t="shared" si="17"/>
        <v>950</v>
      </c>
      <c r="O52" s="253">
        <f t="shared" si="17"/>
        <v>1000</v>
      </c>
      <c r="P52" s="253">
        <f t="shared" si="17"/>
        <v>1000</v>
      </c>
    </row>
    <row r="53" spans="1:17" x14ac:dyDescent="0.25">
      <c r="A53" s="71">
        <v>6614</v>
      </c>
      <c r="B53" s="160" t="s">
        <v>456</v>
      </c>
      <c r="C53" s="161"/>
      <c r="D53" s="161"/>
      <c r="E53" s="161"/>
      <c r="F53" s="231">
        <v>107.27</v>
      </c>
      <c r="G53" s="40"/>
      <c r="H53" s="40">
        <v>1000</v>
      </c>
      <c r="I53" s="40"/>
      <c r="J53" s="252">
        <f>G53+H53</f>
        <v>1000</v>
      </c>
      <c r="K53" s="40">
        <v>371.12</v>
      </c>
      <c r="L53" s="40"/>
      <c r="M53" s="40">
        <f>J53+L53</f>
        <v>1000</v>
      </c>
      <c r="N53" s="33">
        <v>950</v>
      </c>
      <c r="O53" s="33">
        <v>1000</v>
      </c>
      <c r="P53" s="33">
        <v>1000</v>
      </c>
      <c r="Q53" s="33">
        <f>80*12</f>
        <v>960</v>
      </c>
    </row>
    <row r="54" spans="1:17" x14ac:dyDescent="0.25">
      <c r="A54" s="50">
        <v>7</v>
      </c>
      <c r="B54" s="559" t="s">
        <v>2</v>
      </c>
      <c r="C54" s="559"/>
      <c r="D54" s="559"/>
      <c r="E54" s="560"/>
      <c r="F54" s="125">
        <f t="shared" ref="F54:P55" si="18">F55</f>
        <v>1133.94</v>
      </c>
      <c r="G54" s="49">
        <f t="shared" si="18"/>
        <v>500</v>
      </c>
      <c r="H54" s="49">
        <f t="shared" si="18"/>
        <v>0</v>
      </c>
      <c r="I54" s="49">
        <f t="shared" si="18"/>
        <v>500</v>
      </c>
      <c r="J54" s="255">
        <f t="shared" si="18"/>
        <v>500</v>
      </c>
      <c r="K54" s="242">
        <f t="shared" si="18"/>
        <v>510.27</v>
      </c>
      <c r="L54" s="49">
        <f t="shared" si="18"/>
        <v>0</v>
      </c>
      <c r="M54" s="49">
        <f t="shared" si="18"/>
        <v>500</v>
      </c>
      <c r="N54" s="49">
        <f t="shared" si="18"/>
        <v>500</v>
      </c>
      <c r="O54" s="49">
        <f t="shared" si="18"/>
        <v>500</v>
      </c>
      <c r="P54" s="49">
        <f t="shared" si="18"/>
        <v>500</v>
      </c>
    </row>
    <row r="55" spans="1:17" x14ac:dyDescent="0.25">
      <c r="A55" s="111">
        <v>72</v>
      </c>
      <c r="B55" s="111" t="s">
        <v>149</v>
      </c>
      <c r="C55" s="111"/>
      <c r="D55" s="111"/>
      <c r="E55" s="113"/>
      <c r="F55" s="256">
        <f>F56</f>
        <v>1133.94</v>
      </c>
      <c r="G55" s="112">
        <f>G56</f>
        <v>500</v>
      </c>
      <c r="H55" s="112">
        <f t="shared" si="18"/>
        <v>0</v>
      </c>
      <c r="I55" s="112">
        <f t="shared" si="18"/>
        <v>500</v>
      </c>
      <c r="J55" s="257">
        <f>J56</f>
        <v>500</v>
      </c>
      <c r="K55" s="40">
        <f t="shared" si="18"/>
        <v>510.27</v>
      </c>
      <c r="L55" s="112">
        <f t="shared" si="18"/>
        <v>0</v>
      </c>
      <c r="M55" s="112">
        <f t="shared" si="18"/>
        <v>500</v>
      </c>
      <c r="N55" s="112">
        <f t="shared" si="18"/>
        <v>500</v>
      </c>
      <c r="O55" s="112">
        <f t="shared" si="18"/>
        <v>500</v>
      </c>
      <c r="P55" s="112">
        <f t="shared" si="18"/>
        <v>500</v>
      </c>
    </row>
    <row r="56" spans="1:17" x14ac:dyDescent="0.25">
      <c r="A56" s="71">
        <v>7211</v>
      </c>
      <c r="B56" s="71" t="s">
        <v>150</v>
      </c>
      <c r="C56" s="73"/>
      <c r="D56" s="76"/>
      <c r="E56" s="76"/>
      <c r="F56" s="231">
        <v>1133.94</v>
      </c>
      <c r="G56" s="40">
        <v>500</v>
      </c>
      <c r="H56" s="40"/>
      <c r="I56" s="40">
        <f>G56+H56</f>
        <v>500</v>
      </c>
      <c r="J56" s="252">
        <f>G56+H56</f>
        <v>500</v>
      </c>
      <c r="K56" s="40">
        <v>510.27</v>
      </c>
      <c r="L56" s="40"/>
      <c r="M56" s="40">
        <f>J56+L56</f>
        <v>500</v>
      </c>
      <c r="N56" s="33">
        <v>500</v>
      </c>
      <c r="O56" s="33">
        <v>500</v>
      </c>
      <c r="P56" s="33">
        <v>500</v>
      </c>
    </row>
    <row r="57" spans="1:17" x14ac:dyDescent="0.25">
      <c r="A57" s="73"/>
      <c r="B57" s="76"/>
      <c r="C57" s="78"/>
      <c r="D57" s="76"/>
      <c r="E57" s="74"/>
      <c r="F57" s="124"/>
      <c r="G57" s="33"/>
      <c r="H57" s="33"/>
      <c r="I57" s="33"/>
      <c r="J57" s="33"/>
      <c r="K57" s="40"/>
      <c r="L57" s="40"/>
      <c r="M57" s="40"/>
      <c r="N57" s="33"/>
      <c r="O57" s="33"/>
      <c r="P57" s="33"/>
    </row>
    <row r="58" spans="1:17" x14ac:dyDescent="0.25">
      <c r="A58" s="561" t="s">
        <v>352</v>
      </c>
      <c r="B58" s="562"/>
      <c r="C58" s="562"/>
      <c r="D58" s="562"/>
      <c r="E58" s="563"/>
      <c r="F58" s="258" t="e">
        <f t="shared" ref="F58:P58" si="19">F54+F2</f>
        <v>#REF!</v>
      </c>
      <c r="G58" s="114" t="e">
        <f t="shared" si="19"/>
        <v>#REF!</v>
      </c>
      <c r="H58" s="114" t="e">
        <f t="shared" si="19"/>
        <v>#REF!</v>
      </c>
      <c r="I58" s="114" t="e">
        <f t="shared" si="19"/>
        <v>#REF!</v>
      </c>
      <c r="J58" s="259" t="e">
        <f t="shared" si="19"/>
        <v>#REF!</v>
      </c>
      <c r="K58" s="242" t="e">
        <f t="shared" si="19"/>
        <v>#REF!</v>
      </c>
      <c r="L58" s="114" t="e">
        <f t="shared" si="19"/>
        <v>#REF!</v>
      </c>
      <c r="M58" s="114">
        <f t="shared" si="19"/>
        <v>1815018</v>
      </c>
      <c r="N58" s="114">
        <f t="shared" si="19"/>
        <v>2044186</v>
      </c>
      <c r="O58" s="114">
        <f t="shared" si="19"/>
        <v>2134601</v>
      </c>
      <c r="P58" s="114">
        <f t="shared" si="19"/>
        <v>2119540</v>
      </c>
    </row>
    <row r="59" spans="1:17" ht="15.75" x14ac:dyDescent="0.25">
      <c r="A59" s="80"/>
      <c r="B59" s="80"/>
      <c r="C59" s="80"/>
      <c r="D59" s="80"/>
      <c r="E59" s="80"/>
      <c r="F59" s="260"/>
      <c r="G59" s="33"/>
      <c r="H59" s="33"/>
      <c r="I59" s="33"/>
      <c r="J59" s="33"/>
      <c r="K59" s="33"/>
      <c r="L59" s="33"/>
      <c r="M59" s="33"/>
      <c r="N59" s="33"/>
      <c r="O59" s="33"/>
      <c r="P59" s="33"/>
    </row>
    <row r="60" spans="1:17" x14ac:dyDescent="0.25">
      <c r="H60" s="33"/>
    </row>
    <row r="61" spans="1:17" x14ac:dyDescent="0.25">
      <c r="H61" s="33"/>
    </row>
    <row r="62" spans="1:17" x14ac:dyDescent="0.25">
      <c r="G62" s="33">
        <f>'[1]Rashodi radni primjer '!E3</f>
        <v>0</v>
      </c>
      <c r="H62" s="33"/>
      <c r="J62" s="33">
        <f>'[1]Rashodi radni primjer '!I3</f>
        <v>2071120.11</v>
      </c>
      <c r="K62" s="33"/>
      <c r="L62" s="33"/>
      <c r="M62" s="33">
        <f>'[2]Rashodi radni primjer '!K3</f>
        <v>2097990.1100000003</v>
      </c>
      <c r="N62" s="33">
        <f>100000+100000</f>
        <v>200000</v>
      </c>
      <c r="O62" s="33"/>
      <c r="P62" s="33"/>
      <c r="Q62" s="33" t="s">
        <v>788</v>
      </c>
    </row>
    <row r="63" spans="1:17" x14ac:dyDescent="0.25">
      <c r="H63" s="33"/>
      <c r="N63" s="33">
        <f>N58+N62</f>
        <v>2244186</v>
      </c>
      <c r="O63" s="33"/>
      <c r="P63" s="33"/>
      <c r="Q63" s="33" t="s">
        <v>789</v>
      </c>
    </row>
    <row r="64" spans="1:17" x14ac:dyDescent="0.25">
      <c r="G64" s="33" t="e">
        <f>G58-G62</f>
        <v>#REF!</v>
      </c>
      <c r="H64" s="33"/>
      <c r="J64" s="33" t="e">
        <f>J58-J62</f>
        <v>#REF!</v>
      </c>
      <c r="K64" s="33"/>
      <c r="L64" s="33"/>
      <c r="M64" s="33">
        <f>M58-M62</f>
        <v>-282972.11000000034</v>
      </c>
      <c r="N64" s="33">
        <f>'plan rashoda RADNI'!I3</f>
        <v>2244186</v>
      </c>
      <c r="O64" s="33"/>
      <c r="P64" s="33"/>
      <c r="Q64" s="33" t="s">
        <v>787</v>
      </c>
    </row>
    <row r="65" spans="7:17" x14ac:dyDescent="0.25">
      <c r="H65" s="33"/>
    </row>
    <row r="66" spans="7:17" x14ac:dyDescent="0.25">
      <c r="G66" s="33">
        <f>300000+20000</f>
        <v>320000</v>
      </c>
      <c r="H66" s="33">
        <v>-37032.89</v>
      </c>
      <c r="J66" s="33">
        <f>G66+H66</f>
        <v>282967.11</v>
      </c>
      <c r="K66" s="33"/>
      <c r="L66" s="33"/>
      <c r="M66" s="33">
        <v>282967.11</v>
      </c>
      <c r="N66" s="33">
        <f>N63-N64</f>
        <v>0</v>
      </c>
      <c r="O66" s="33"/>
      <c r="P66" s="33"/>
      <c r="Q66" s="33" t="s">
        <v>790</v>
      </c>
    </row>
    <row r="67" spans="7:17" x14ac:dyDescent="0.25">
      <c r="G67" s="33"/>
      <c r="H67" s="33"/>
      <c r="J67" s="33"/>
      <c r="K67" s="33"/>
      <c r="L67" s="33"/>
      <c r="M67" s="33"/>
      <c r="N67" s="33"/>
      <c r="O67" s="33"/>
      <c r="P67" s="33"/>
    </row>
    <row r="68" spans="7:17" x14ac:dyDescent="0.25">
      <c r="G68" s="33" t="e">
        <f>G64+G66</f>
        <v>#REF!</v>
      </c>
      <c r="H68" s="33"/>
      <c r="J68" s="33" t="e">
        <f>J64+J66</f>
        <v>#REF!</v>
      </c>
      <c r="K68" s="33"/>
      <c r="L68" s="33"/>
      <c r="M68" s="33">
        <f>M58+M66-M62</f>
        <v>-5.0000000004656613</v>
      </c>
      <c r="N68" s="33"/>
      <c r="O68" s="33"/>
      <c r="P68" s="33"/>
    </row>
    <row r="69" spans="7:17" x14ac:dyDescent="0.25">
      <c r="G69" s="33"/>
      <c r="H69" s="33"/>
      <c r="J69" s="33"/>
      <c r="K69" s="33"/>
      <c r="L69" s="33"/>
      <c r="M69" s="33"/>
      <c r="N69" s="33"/>
      <c r="O69" s="33"/>
      <c r="P69" s="33"/>
    </row>
    <row r="70" spans="7:17" x14ac:dyDescent="0.25">
      <c r="G70" s="33"/>
      <c r="J70" s="33"/>
      <c r="K70" s="33"/>
      <c r="L70" s="33"/>
      <c r="M70" s="33"/>
      <c r="N70" s="33"/>
      <c r="O70" s="33"/>
      <c r="P70" s="33"/>
    </row>
    <row r="71" spans="7:17" x14ac:dyDescent="0.25">
      <c r="G71" s="33"/>
      <c r="J71" s="33"/>
      <c r="K71" s="33"/>
      <c r="L71" s="33"/>
      <c r="M71" s="33"/>
      <c r="N71" s="33"/>
      <c r="O71" s="33"/>
      <c r="P71" s="33"/>
    </row>
    <row r="72" spans="7:17" x14ac:dyDescent="0.25">
      <c r="G72" s="33"/>
      <c r="J72" s="33"/>
      <c r="K72" s="33"/>
      <c r="L72" s="33"/>
      <c r="M72" s="33"/>
      <c r="N72" s="33"/>
      <c r="O72" s="33"/>
      <c r="P72" s="33"/>
    </row>
    <row r="73" spans="7:17" x14ac:dyDescent="0.25">
      <c r="G73" s="33"/>
      <c r="J73" s="33"/>
      <c r="K73" s="33"/>
      <c r="L73" s="33"/>
      <c r="M73" s="33"/>
      <c r="N73" s="33"/>
      <c r="O73" s="33"/>
      <c r="P73" s="33"/>
    </row>
  </sheetData>
  <mergeCells count="35">
    <mergeCell ref="O9:O10"/>
    <mergeCell ref="P9:P10"/>
    <mergeCell ref="B51:E51"/>
    <mergeCell ref="B54:E54"/>
    <mergeCell ref="A58:E58"/>
    <mergeCell ref="N9:N10"/>
    <mergeCell ref="B36:E36"/>
    <mergeCell ref="B43:E43"/>
    <mergeCell ref="B44:E44"/>
    <mergeCell ref="B49:E49"/>
    <mergeCell ref="B50:E50"/>
    <mergeCell ref="B22:E22"/>
    <mergeCell ref="B23:E23"/>
    <mergeCell ref="B24:E24"/>
    <mergeCell ref="B25:E25"/>
    <mergeCell ref="B28:E28"/>
    <mergeCell ref="B30:E30"/>
    <mergeCell ref="L9:L10"/>
    <mergeCell ref="M9:M10"/>
    <mergeCell ref="B13:E13"/>
    <mergeCell ref="B16:E16"/>
    <mergeCell ref="B18:E18"/>
    <mergeCell ref="J9:J10"/>
    <mergeCell ref="K9:K10"/>
    <mergeCell ref="B19:E19"/>
    <mergeCell ref="F9:F10"/>
    <mergeCell ref="G9:G10"/>
    <mergeCell ref="H9:H10"/>
    <mergeCell ref="I9:I10"/>
    <mergeCell ref="B8:E8"/>
    <mergeCell ref="A2:E2"/>
    <mergeCell ref="B3:E3"/>
    <mergeCell ref="B4:E4"/>
    <mergeCell ref="B5:E5"/>
    <mergeCell ref="B7:E7"/>
  </mergeCells>
  <pageMargins left="0.11811023622047245" right="0.11811023622047245" top="0.74803149606299213" bottom="0.74803149606299213" header="0.31496062992125984" footer="0.31496062992125984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2E2E1-31E2-43AA-9D22-F37F7AE6D6E5}">
  <dimension ref="A1:Z716"/>
  <sheetViews>
    <sheetView zoomScale="110" zoomScaleNormal="110" workbookViewId="0">
      <selection activeCell="I345" sqref="I345"/>
    </sheetView>
  </sheetViews>
  <sheetFormatPr defaultRowHeight="15" x14ac:dyDescent="0.25"/>
  <cols>
    <col min="1" max="1" width="7.28515625" customWidth="1"/>
    <col min="2" max="2" width="6.140625" customWidth="1"/>
    <col min="4" max="4" width="10.140625" bestFit="1" customWidth="1"/>
    <col min="5" max="5" width="28.140625" customWidth="1"/>
    <col min="6" max="6" width="0.5703125" style="33" customWidth="1"/>
    <col min="7" max="7" width="2.85546875" style="33" customWidth="1"/>
    <col min="8" max="8" width="4" style="33" customWidth="1"/>
    <col min="9" max="11" width="22" style="33" customWidth="1"/>
    <col min="12" max="12" width="16" style="33" customWidth="1"/>
    <col min="13" max="13" width="11.140625" style="33" bestFit="1" customWidth="1"/>
    <col min="14" max="14" width="12.5703125" style="33" bestFit="1" customWidth="1"/>
    <col min="15" max="15" width="10" style="33" bestFit="1" customWidth="1"/>
    <col min="16" max="16" width="11.7109375" style="33" bestFit="1" customWidth="1"/>
    <col min="17" max="17" width="10" style="33" bestFit="1" customWidth="1"/>
    <col min="18" max="19" width="9.140625" style="33"/>
  </cols>
  <sheetData>
    <row r="1" spans="1:26" ht="15.75" x14ac:dyDescent="0.25">
      <c r="A1" s="63"/>
      <c r="B1" s="67"/>
      <c r="C1" s="67"/>
      <c r="D1" s="67"/>
      <c r="E1" s="67"/>
      <c r="F1" s="68"/>
      <c r="G1" s="70"/>
      <c r="H1" s="70"/>
      <c r="I1" s="70"/>
      <c r="J1" s="70"/>
      <c r="K1" s="70"/>
    </row>
    <row r="2" spans="1:26" ht="29.25" customHeight="1" x14ac:dyDescent="0.25">
      <c r="F2" s="66" t="s">
        <v>123</v>
      </c>
      <c r="G2" s="282" t="s">
        <v>353</v>
      </c>
      <c r="H2" s="283" t="s">
        <v>354</v>
      </c>
      <c r="I2" s="282" t="s">
        <v>710</v>
      </c>
      <c r="J2" s="282"/>
      <c r="K2" s="84" t="s">
        <v>736</v>
      </c>
    </row>
    <row r="3" spans="1:26" ht="15.75" x14ac:dyDescent="0.25">
      <c r="A3" s="85" t="s">
        <v>119</v>
      </c>
      <c r="B3" s="85"/>
      <c r="C3" s="85"/>
      <c r="D3" s="85"/>
      <c r="E3" s="85"/>
      <c r="F3" s="86" t="e">
        <f>F4+F68</f>
        <v>#REF!</v>
      </c>
      <c r="G3" s="86" t="e">
        <f>G4+G68</f>
        <v>#REF!</v>
      </c>
      <c r="H3" s="86">
        <f>H4+H68</f>
        <v>2011961</v>
      </c>
      <c r="I3" s="86">
        <f>I4+I68</f>
        <v>2244186</v>
      </c>
      <c r="J3" s="86"/>
      <c r="K3" s="86">
        <f>K8+K26+K39+K73+K140+K148+K156+K168+K177+K193+K205+K217+K225+K233+K258+K248+K269+K279+K292+K301+K323+K339+K347+K358+K331+K367+K382+K393+K407+K423+K432+K444+K454+K463+K473+K492+K542+K553+K561+K570+K580+K591+K602+K611+K620+K630+K648+K656+K673+K683+K694</f>
        <v>814968.1100000001</v>
      </c>
    </row>
    <row r="4" spans="1:26" ht="15.75" x14ac:dyDescent="0.25">
      <c r="A4" s="87" t="s">
        <v>64</v>
      </c>
      <c r="B4" s="87"/>
      <c r="C4" s="87"/>
      <c r="D4" s="87"/>
      <c r="E4" s="87"/>
      <c r="F4" s="88" t="e">
        <f t="shared" ref="F4" si="0">F5</f>
        <v>#REF!</v>
      </c>
      <c r="G4" s="88">
        <f>G5</f>
        <v>37719.859132656449</v>
      </c>
      <c r="H4" s="88">
        <f>H5</f>
        <v>62010</v>
      </c>
      <c r="I4" s="88">
        <f>I5</f>
        <v>95312</v>
      </c>
      <c r="J4" s="88"/>
      <c r="K4" s="284"/>
    </row>
    <row r="5" spans="1:26" x14ac:dyDescent="0.25">
      <c r="A5" s="89" t="s">
        <v>170</v>
      </c>
      <c r="B5" s="89"/>
      <c r="C5" s="89"/>
      <c r="D5" s="89"/>
      <c r="E5" s="89"/>
      <c r="F5" s="90" t="e">
        <f>F6+F38</f>
        <v>#REF!</v>
      </c>
      <c r="G5" s="90">
        <f>G6+G38</f>
        <v>37719.859132656449</v>
      </c>
      <c r="H5" s="90">
        <f>H6</f>
        <v>62010</v>
      </c>
      <c r="I5" s="90">
        <f>I6+I53</f>
        <v>95312</v>
      </c>
      <c r="J5" s="90"/>
      <c r="K5" s="79"/>
    </row>
    <row r="6" spans="1:26" x14ac:dyDescent="0.25">
      <c r="A6" s="41" t="s">
        <v>66</v>
      </c>
      <c r="B6" s="41"/>
      <c r="C6" s="41"/>
      <c r="D6" s="41"/>
      <c r="E6" s="41"/>
      <c r="F6" s="82" t="e">
        <f>F8+F26+#REF!</f>
        <v>#REF!</v>
      </c>
      <c r="G6" s="82">
        <f>G8+G26</f>
        <v>36392.639132656448</v>
      </c>
      <c r="H6" s="82">
        <f>H8+H26+H39</f>
        <v>62010</v>
      </c>
      <c r="I6" s="82">
        <f>I8+I26+I39+I46</f>
        <v>81212</v>
      </c>
      <c r="J6" s="82"/>
      <c r="K6" s="79"/>
    </row>
    <row r="7" spans="1:26" x14ac:dyDescent="0.25">
      <c r="A7" s="602" t="s">
        <v>371</v>
      </c>
      <c r="B7" s="602"/>
      <c r="C7" s="602"/>
      <c r="D7" s="602"/>
      <c r="E7" s="602"/>
      <c r="F7" s="218"/>
      <c r="G7" s="154"/>
      <c r="H7" s="154"/>
      <c r="I7" s="154"/>
      <c r="J7" s="154"/>
      <c r="K7" s="40"/>
    </row>
    <row r="8" spans="1:26" x14ac:dyDescent="0.25">
      <c r="A8" s="91" t="s">
        <v>171</v>
      </c>
      <c r="B8" s="92"/>
      <c r="C8" s="92"/>
      <c r="D8" s="92"/>
      <c r="E8" s="92"/>
      <c r="F8" s="93" t="e">
        <f>F10</f>
        <v>#REF!</v>
      </c>
      <c r="G8" s="93">
        <f>G10</f>
        <v>30924.472234388482</v>
      </c>
      <c r="H8" s="93">
        <f>H12+H14+H17+H19+H22</f>
        <v>34210</v>
      </c>
      <c r="I8" s="93">
        <f>I10</f>
        <v>49252</v>
      </c>
      <c r="J8" s="93"/>
      <c r="K8" s="94">
        <f>K13+K15+K18+K20</f>
        <v>40883.96</v>
      </c>
      <c r="N8" s="33" t="s">
        <v>718</v>
      </c>
    </row>
    <row r="9" spans="1:26" x14ac:dyDescent="0.25">
      <c r="A9" s="285"/>
      <c r="B9" s="286"/>
      <c r="C9" s="286"/>
      <c r="D9" s="286"/>
      <c r="E9" s="286"/>
      <c r="F9" s="79"/>
      <c r="G9" s="79"/>
      <c r="H9" s="79"/>
      <c r="I9" s="79"/>
      <c r="J9" s="79"/>
      <c r="K9" s="79"/>
      <c r="M9" s="33">
        <v>31</v>
      </c>
    </row>
    <row r="10" spans="1:26" x14ac:dyDescent="0.25">
      <c r="A10" s="166">
        <v>3</v>
      </c>
      <c r="B10" s="166" t="s">
        <v>18</v>
      </c>
      <c r="C10" s="166"/>
      <c r="D10" s="166"/>
      <c r="E10" s="166"/>
      <c r="F10" s="79" t="e">
        <f>F11+F16+F21</f>
        <v>#REF!</v>
      </c>
      <c r="G10" s="79">
        <f>G11+G16+G21</f>
        <v>30924.472234388482</v>
      </c>
      <c r="H10" s="79">
        <f>H11+H16+H21</f>
        <v>34210</v>
      </c>
      <c r="I10" s="79">
        <f>I11+I16+I21</f>
        <v>49252</v>
      </c>
      <c r="J10" s="79"/>
      <c r="K10" s="79"/>
      <c r="M10" s="33">
        <v>32</v>
      </c>
      <c r="O10" s="122" t="s">
        <v>794</v>
      </c>
      <c r="P10" s="122"/>
      <c r="X10" s="33"/>
      <c r="Y10" s="33"/>
      <c r="Z10" s="33"/>
    </row>
    <row r="11" spans="1:26" x14ac:dyDescent="0.25">
      <c r="A11" s="166">
        <v>31</v>
      </c>
      <c r="B11" s="166" t="s">
        <v>151</v>
      </c>
      <c r="C11" s="166"/>
      <c r="D11" s="166"/>
      <c r="E11" s="166"/>
      <c r="F11" s="79">
        <f>F12+F14</f>
        <v>107517.5</v>
      </c>
      <c r="G11" s="79">
        <f>G12+G14</f>
        <v>25615.50202402283</v>
      </c>
      <c r="H11" s="79">
        <f>H12+H14</f>
        <v>29710</v>
      </c>
      <c r="I11" s="79">
        <f>I12+I14</f>
        <v>46252</v>
      </c>
      <c r="J11" s="79"/>
      <c r="K11" s="79"/>
      <c r="M11" s="33">
        <v>34</v>
      </c>
      <c r="X11" s="33"/>
      <c r="Y11" s="33"/>
      <c r="Z11" s="33"/>
    </row>
    <row r="12" spans="1:26" x14ac:dyDescent="0.25">
      <c r="A12" s="166">
        <v>311</v>
      </c>
      <c r="B12" s="166" t="s">
        <v>172</v>
      </c>
      <c r="C12" s="166"/>
      <c r="D12" s="166"/>
      <c r="E12" s="166"/>
      <c r="F12" s="79">
        <f>SUM(F13:F13)</f>
        <v>87119.5</v>
      </c>
      <c r="G12" s="79">
        <f>SUM(G13:G13)</f>
        <v>21978.897073462074</v>
      </c>
      <c r="H12" s="79">
        <f>H13</f>
        <v>25500</v>
      </c>
      <c r="I12" s="79">
        <f>I13</f>
        <v>39700</v>
      </c>
      <c r="J12" s="79"/>
      <c r="K12" s="79"/>
      <c r="M12" s="33">
        <v>35</v>
      </c>
      <c r="X12" s="33"/>
      <c r="Y12" s="33"/>
      <c r="Z12" s="33"/>
    </row>
    <row r="13" spans="1:26" x14ac:dyDescent="0.25">
      <c r="A13" s="286">
        <v>3111</v>
      </c>
      <c r="B13" s="286" t="s">
        <v>336</v>
      </c>
      <c r="C13" s="286"/>
      <c r="D13" s="286"/>
      <c r="E13" s="286"/>
      <c r="F13" s="40">
        <v>87119.5</v>
      </c>
      <c r="G13" s="267">
        <f>165600/7.5345</f>
        <v>21978.897073462074</v>
      </c>
      <c r="H13" s="267">
        <v>25500</v>
      </c>
      <c r="I13" s="267">
        <v>39700</v>
      </c>
      <c r="J13" s="267"/>
      <c r="K13" s="267">
        <f>16340.13+2825.04+4791.28</f>
        <v>23956.449999999997</v>
      </c>
      <c r="L13" s="33">
        <f>3305*12</f>
        <v>39660</v>
      </c>
      <c r="M13" s="33">
        <v>36</v>
      </c>
      <c r="X13" s="33"/>
      <c r="Y13" s="33"/>
      <c r="Z13" s="33"/>
    </row>
    <row r="14" spans="1:26" x14ac:dyDescent="0.25">
      <c r="A14" s="166">
        <v>313</v>
      </c>
      <c r="B14" s="166" t="s">
        <v>154</v>
      </c>
      <c r="C14" s="166"/>
      <c r="D14" s="166"/>
      <c r="E14" s="166"/>
      <c r="F14" s="79">
        <f>F15</f>
        <v>20398</v>
      </c>
      <c r="G14" s="79">
        <f>G15</f>
        <v>3636.6049505607539</v>
      </c>
      <c r="H14" s="79">
        <f>H15</f>
        <v>4210</v>
      </c>
      <c r="I14" s="79">
        <f>I15</f>
        <v>6552</v>
      </c>
      <c r="J14" s="79"/>
      <c r="K14" s="79"/>
      <c r="M14" s="33">
        <v>37</v>
      </c>
      <c r="X14" s="33"/>
      <c r="Y14" s="33"/>
      <c r="Z14" s="33"/>
    </row>
    <row r="15" spans="1:26" x14ac:dyDescent="0.25">
      <c r="A15" s="286">
        <v>3132</v>
      </c>
      <c r="B15" s="286" t="s">
        <v>173</v>
      </c>
      <c r="C15" s="286"/>
      <c r="D15" s="286"/>
      <c r="E15" s="286"/>
      <c r="F15" s="40">
        <v>20398</v>
      </c>
      <c r="G15" s="267">
        <f>27400/7.5345</f>
        <v>3636.6049505607539</v>
      </c>
      <c r="H15" s="267">
        <v>4210</v>
      </c>
      <c r="I15" s="267">
        <v>6552</v>
      </c>
      <c r="J15" s="267"/>
      <c r="K15" s="267">
        <v>3952.79</v>
      </c>
      <c r="L15" s="33">
        <f>L13*16.5/100</f>
        <v>6543.9</v>
      </c>
      <c r="M15" s="33">
        <v>38</v>
      </c>
      <c r="X15" s="33"/>
      <c r="Y15" s="33"/>
      <c r="Z15" s="33"/>
    </row>
    <row r="16" spans="1:26" x14ac:dyDescent="0.25">
      <c r="A16" s="166">
        <v>32</v>
      </c>
      <c r="B16" s="166" t="s">
        <v>155</v>
      </c>
      <c r="C16" s="166"/>
      <c r="D16" s="166"/>
      <c r="E16" s="166"/>
      <c r="F16" s="79" t="e">
        <f>F17+#REF!+F19</f>
        <v>#REF!</v>
      </c>
      <c r="G16" s="79">
        <f>G17++G19</f>
        <v>3318.0702103656513</v>
      </c>
      <c r="H16" s="79">
        <f>H17+H19</f>
        <v>3500</v>
      </c>
      <c r="I16" s="79">
        <f>I17+I19</f>
        <v>2000</v>
      </c>
      <c r="J16" s="79"/>
      <c r="K16" s="79"/>
      <c r="N16" s="33">
        <f>SUM(N9:N15)</f>
        <v>0</v>
      </c>
      <c r="X16" s="33"/>
      <c r="Y16" s="33"/>
      <c r="Z16" s="33"/>
    </row>
    <row r="17" spans="1:26" x14ac:dyDescent="0.25">
      <c r="A17" s="166">
        <v>321</v>
      </c>
      <c r="B17" s="166" t="s">
        <v>156</v>
      </c>
      <c r="C17" s="166"/>
      <c r="D17" s="166"/>
      <c r="E17" s="166"/>
      <c r="F17" s="79">
        <f>SUM(F18:F18)</f>
        <v>1340</v>
      </c>
      <c r="G17" s="79">
        <f>SUM(G18:G18)</f>
        <v>1327.2280841462605</v>
      </c>
      <c r="H17" s="79">
        <f>H18</f>
        <v>1500</v>
      </c>
      <c r="I17" s="79">
        <f>I18</f>
        <v>1500</v>
      </c>
      <c r="J17" s="79"/>
      <c r="K17" s="79"/>
      <c r="P17" s="33" t="s">
        <v>786</v>
      </c>
      <c r="Q17" s="33">
        <f>N16+N21</f>
        <v>0</v>
      </c>
      <c r="X17" s="33"/>
      <c r="Y17" s="33"/>
      <c r="Z17" s="33"/>
    </row>
    <row r="18" spans="1:26" x14ac:dyDescent="0.25">
      <c r="A18" s="286">
        <v>3214</v>
      </c>
      <c r="B18" s="286" t="s">
        <v>174</v>
      </c>
      <c r="C18" s="286"/>
      <c r="D18" s="286"/>
      <c r="E18" s="286"/>
      <c r="F18" s="40">
        <v>1340</v>
      </c>
      <c r="G18" s="267">
        <f>10000/7.5345</f>
        <v>1327.2280841462605</v>
      </c>
      <c r="H18" s="267">
        <v>1500</v>
      </c>
      <c r="I18" s="267">
        <v>1500</v>
      </c>
      <c r="J18" s="267"/>
      <c r="K18" s="267">
        <v>1174</v>
      </c>
      <c r="X18" s="33"/>
      <c r="Y18" s="33"/>
      <c r="Z18" s="33"/>
    </row>
    <row r="19" spans="1:26" x14ac:dyDescent="0.25">
      <c r="A19" s="166">
        <v>329</v>
      </c>
      <c r="B19" s="166" t="s">
        <v>175</v>
      </c>
      <c r="C19" s="166"/>
      <c r="D19" s="166"/>
      <c r="E19" s="166"/>
      <c r="F19" s="79">
        <f>SUM(F20:F20)</f>
        <v>1671.36</v>
      </c>
      <c r="G19" s="79">
        <f>SUM(G20:G20)</f>
        <v>1990.8421262193906</v>
      </c>
      <c r="H19" s="79">
        <f>H20</f>
        <v>2000</v>
      </c>
      <c r="I19" s="79">
        <f>I20</f>
        <v>500</v>
      </c>
      <c r="J19" s="79"/>
      <c r="K19" s="79"/>
      <c r="M19" s="33">
        <v>42</v>
      </c>
      <c r="X19" s="33"/>
      <c r="Y19" s="33"/>
      <c r="Z19" s="33"/>
    </row>
    <row r="20" spans="1:26" x14ac:dyDescent="0.25">
      <c r="A20" s="286">
        <v>3293</v>
      </c>
      <c r="B20" s="286" t="s">
        <v>176</v>
      </c>
      <c r="C20" s="286"/>
      <c r="D20" s="286"/>
      <c r="E20" s="286"/>
      <c r="F20" s="40">
        <v>1671.36</v>
      </c>
      <c r="G20" s="267">
        <f>15000/7.5345</f>
        <v>1990.8421262193906</v>
      </c>
      <c r="H20" s="267">
        <v>2000</v>
      </c>
      <c r="I20" s="267">
        <v>500</v>
      </c>
      <c r="J20" s="267"/>
      <c r="K20" s="267">
        <f>7543.42+4257.3</f>
        <v>11800.720000000001</v>
      </c>
      <c r="L20"/>
      <c r="M20">
        <v>45</v>
      </c>
      <c r="N20"/>
      <c r="O20"/>
      <c r="Q20" s="123"/>
      <c r="Y20" s="33"/>
    </row>
    <row r="21" spans="1:26" x14ac:dyDescent="0.25">
      <c r="A21" s="166">
        <v>38</v>
      </c>
      <c r="B21" s="166" t="s">
        <v>177</v>
      </c>
      <c r="C21" s="166"/>
      <c r="D21" s="166"/>
      <c r="E21" s="166"/>
      <c r="F21" s="79">
        <f t="shared" ref="F21:G22" si="1">F22</f>
        <v>0</v>
      </c>
      <c r="G21" s="79">
        <f t="shared" si="1"/>
        <v>1990.9</v>
      </c>
      <c r="H21" s="79">
        <f>H22</f>
        <v>1000</v>
      </c>
      <c r="I21" s="79">
        <f>I22</f>
        <v>1000</v>
      </c>
      <c r="J21" s="79"/>
      <c r="K21" s="79"/>
      <c r="N21" s="33">
        <f>N19+N20</f>
        <v>0</v>
      </c>
    </row>
    <row r="22" spans="1:26" x14ac:dyDescent="0.25">
      <c r="A22" s="166">
        <v>381</v>
      </c>
      <c r="B22" s="570" t="s">
        <v>178</v>
      </c>
      <c r="C22" s="570"/>
      <c r="D22" s="570"/>
      <c r="E22" s="570"/>
      <c r="F22" s="79">
        <f t="shared" si="1"/>
        <v>0</v>
      </c>
      <c r="G22" s="79">
        <f t="shared" si="1"/>
        <v>1990.9</v>
      </c>
      <c r="H22" s="79">
        <f>H23</f>
        <v>1000</v>
      </c>
      <c r="I22" s="79">
        <f>I23</f>
        <v>1000</v>
      </c>
      <c r="J22" s="79"/>
      <c r="K22" s="79"/>
    </row>
    <row r="23" spans="1:26" x14ac:dyDescent="0.25">
      <c r="A23" s="286">
        <v>381</v>
      </c>
      <c r="B23" s="71" t="s">
        <v>179</v>
      </c>
      <c r="C23" s="286"/>
      <c r="D23" s="286"/>
      <c r="E23" s="286"/>
      <c r="F23" s="40"/>
      <c r="G23" s="40">
        <f>1990.9</f>
        <v>1990.9</v>
      </c>
      <c r="H23" s="40">
        <f>2000-1000</f>
        <v>1000</v>
      </c>
      <c r="I23" s="40">
        <v>1000</v>
      </c>
      <c r="J23" s="40"/>
      <c r="K23" s="40"/>
    </row>
    <row r="24" spans="1:26" x14ac:dyDescent="0.25">
      <c r="A24" s="286"/>
      <c r="B24" s="286"/>
      <c r="C24" s="286"/>
      <c r="D24" s="286"/>
      <c r="E24" s="286"/>
      <c r="F24" s="40"/>
      <c r="G24" s="40"/>
      <c r="H24" s="40"/>
      <c r="I24" s="40"/>
      <c r="J24" s="40"/>
      <c r="K24" s="40"/>
    </row>
    <row r="25" spans="1:26" x14ac:dyDescent="0.25">
      <c r="A25" s="603" t="s">
        <v>371</v>
      </c>
      <c r="B25" s="603"/>
      <c r="C25" s="603"/>
      <c r="D25" s="603"/>
      <c r="E25" s="603"/>
      <c r="F25" s="154"/>
      <c r="G25" s="154"/>
      <c r="H25" s="154"/>
      <c r="I25" s="154"/>
      <c r="J25" s="154"/>
      <c r="K25" s="40"/>
    </row>
    <row r="26" spans="1:26" x14ac:dyDescent="0.25">
      <c r="A26" s="572" t="s">
        <v>180</v>
      </c>
      <c r="B26" s="572"/>
      <c r="C26" s="572"/>
      <c r="D26" s="572"/>
      <c r="E26" s="572"/>
      <c r="F26" s="93">
        <f t="shared" ref="F26" si="2">F30+F33</f>
        <v>27755.05</v>
      </c>
      <c r="G26" s="93">
        <f>G30+G33</f>
        <v>5468.1668982679666</v>
      </c>
      <c r="H26" s="93">
        <f>H28</f>
        <v>5800</v>
      </c>
      <c r="I26" s="93">
        <f>I28</f>
        <v>7960</v>
      </c>
      <c r="J26" s="93"/>
      <c r="K26" s="94">
        <f>K31+K36</f>
        <v>4224.42</v>
      </c>
    </row>
    <row r="27" spans="1:26" x14ac:dyDescent="0.25">
      <c r="A27" s="166"/>
      <c r="B27" s="166"/>
      <c r="C27" s="166"/>
      <c r="D27" s="166"/>
      <c r="E27" s="166"/>
      <c r="F27" s="79"/>
      <c r="G27" s="79"/>
      <c r="H27" s="79"/>
      <c r="I27" s="79"/>
      <c r="J27" s="79"/>
      <c r="K27" s="79"/>
    </row>
    <row r="28" spans="1:26" x14ac:dyDescent="0.25">
      <c r="A28" s="166">
        <v>3</v>
      </c>
      <c r="B28" s="166" t="s">
        <v>181</v>
      </c>
      <c r="C28" s="166"/>
      <c r="D28" s="166"/>
      <c r="E28" s="166"/>
      <c r="F28" s="79"/>
      <c r="G28" s="79">
        <f>G29+G33</f>
        <v>5468.1668982679666</v>
      </c>
      <c r="H28" s="79">
        <f>H29+H33</f>
        <v>5800</v>
      </c>
      <c r="I28" s="79">
        <f>I29+I33</f>
        <v>7960</v>
      </c>
      <c r="J28" s="79"/>
      <c r="K28" s="79"/>
    </row>
    <row r="29" spans="1:26" x14ac:dyDescent="0.25">
      <c r="A29" s="166">
        <v>32</v>
      </c>
      <c r="B29" s="166" t="s">
        <v>155</v>
      </c>
      <c r="C29" s="166"/>
      <c r="D29" s="166"/>
      <c r="E29" s="166"/>
      <c r="F29" s="79"/>
      <c r="G29" s="79">
        <f>G30</f>
        <v>4114.3942524387812</v>
      </c>
      <c r="H29" s="79">
        <f>H30</f>
        <v>4150</v>
      </c>
      <c r="I29" s="79">
        <f>I30</f>
        <v>6360</v>
      </c>
      <c r="J29" s="79"/>
      <c r="K29" s="79"/>
    </row>
    <row r="30" spans="1:26" x14ac:dyDescent="0.25">
      <c r="A30" s="166">
        <v>329</v>
      </c>
      <c r="B30" s="166" t="s">
        <v>182</v>
      </c>
      <c r="C30" s="166"/>
      <c r="D30" s="166"/>
      <c r="E30" s="166"/>
      <c r="F30" s="79">
        <f t="shared" ref="F30" si="3">SUM(F31:F32)</f>
        <v>19379.349999999999</v>
      </c>
      <c r="G30" s="79">
        <f>SUM(G31:G32)</f>
        <v>4114.3942524387812</v>
      </c>
      <c r="H30" s="79">
        <f>H31+H32</f>
        <v>4150</v>
      </c>
      <c r="I30" s="79">
        <f>I31+I32</f>
        <v>6360</v>
      </c>
      <c r="J30" s="79"/>
      <c r="K30" s="79"/>
    </row>
    <row r="31" spans="1:26" x14ac:dyDescent="0.25">
      <c r="A31" s="286">
        <v>3291</v>
      </c>
      <c r="B31" s="286" t="s">
        <v>183</v>
      </c>
      <c r="C31" s="286"/>
      <c r="D31" s="286"/>
      <c r="E31" s="286"/>
      <c r="F31" s="40">
        <v>19092.68</v>
      </c>
      <c r="G31" s="40">
        <f>30000/7.5345</f>
        <v>3981.6842524387812</v>
      </c>
      <c r="H31" s="40">
        <v>4000</v>
      </c>
      <c r="I31" s="40">
        <v>6240</v>
      </c>
      <c r="J31" s="40"/>
      <c r="K31" s="40">
        <f>2844.42</f>
        <v>2844.42</v>
      </c>
      <c r="L31" s="33">
        <f>520*12</f>
        <v>6240</v>
      </c>
    </row>
    <row r="32" spans="1:26" x14ac:dyDescent="0.25">
      <c r="A32" s="71">
        <v>3291</v>
      </c>
      <c r="B32" s="71" t="s">
        <v>184</v>
      </c>
      <c r="C32" s="71"/>
      <c r="D32" s="71"/>
      <c r="E32" s="71"/>
      <c r="F32" s="72">
        <v>286.67</v>
      </c>
      <c r="G32" s="40">
        <v>132.71</v>
      </c>
      <c r="H32" s="40">
        <v>150</v>
      </c>
      <c r="I32" s="40">
        <v>120</v>
      </c>
      <c r="J32" s="40"/>
      <c r="K32" s="40"/>
      <c r="L32" s="33">
        <f>60*2</f>
        <v>120</v>
      </c>
    </row>
    <row r="33" spans="1:19" x14ac:dyDescent="0.25">
      <c r="A33" s="166">
        <v>38</v>
      </c>
      <c r="B33" s="166" t="s">
        <v>177</v>
      </c>
      <c r="C33" s="286"/>
      <c r="D33" s="286"/>
      <c r="E33" s="286"/>
      <c r="F33" s="79">
        <f t="shared" ref="F33:G33" si="4">F34</f>
        <v>8375.7000000000007</v>
      </c>
      <c r="G33" s="79">
        <f t="shared" si="4"/>
        <v>1353.7726458291856</v>
      </c>
      <c r="H33" s="79">
        <f>H34</f>
        <v>1650</v>
      </c>
      <c r="I33" s="79">
        <f>I34</f>
        <v>1600</v>
      </c>
      <c r="J33" s="79"/>
      <c r="K33" s="79"/>
    </row>
    <row r="34" spans="1:19" x14ac:dyDescent="0.25">
      <c r="A34" s="166">
        <v>381</v>
      </c>
      <c r="B34" s="166" t="s">
        <v>166</v>
      </c>
      <c r="C34" s="286"/>
      <c r="D34" s="286"/>
      <c r="E34" s="286"/>
      <c r="F34" s="79">
        <f t="shared" ref="F34:G34" si="5">SUM(F35:F36)</f>
        <v>8375.7000000000007</v>
      </c>
      <c r="G34" s="79">
        <f t="shared" si="5"/>
        <v>1353.7726458291856</v>
      </c>
      <c r="H34" s="79">
        <f>H35+H36</f>
        <v>1650</v>
      </c>
      <c r="I34" s="79">
        <f>I35+I36</f>
        <v>1600</v>
      </c>
      <c r="J34" s="79"/>
      <c r="K34" s="79"/>
    </row>
    <row r="35" spans="1:19" x14ac:dyDescent="0.25">
      <c r="A35" s="71">
        <v>3811</v>
      </c>
      <c r="B35" s="71" t="s">
        <v>185</v>
      </c>
      <c r="C35" s="71"/>
      <c r="D35" s="71"/>
      <c r="E35" s="71"/>
      <c r="F35" s="40"/>
      <c r="G35" s="40">
        <f>1000/7.5345</f>
        <v>132.72280841462606</v>
      </c>
      <c r="H35" s="40">
        <v>150</v>
      </c>
      <c r="I35" s="40">
        <v>200</v>
      </c>
      <c r="J35" s="40"/>
      <c r="K35" s="40"/>
    </row>
    <row r="36" spans="1:19" x14ac:dyDescent="0.25">
      <c r="A36" s="71">
        <v>3811</v>
      </c>
      <c r="B36" s="71" t="s">
        <v>186</v>
      </c>
      <c r="C36" s="71"/>
      <c r="D36" s="71"/>
      <c r="E36" s="71"/>
      <c r="F36" s="40">
        <f>1390.58+3175+2021.44+851.8+936.88</f>
        <v>8375.7000000000007</v>
      </c>
      <c r="G36" s="267">
        <f>9200/7.5345</f>
        <v>1221.0498374145595</v>
      </c>
      <c r="H36" s="267">
        <v>1500</v>
      </c>
      <c r="I36" s="267">
        <v>1400</v>
      </c>
      <c r="J36" s="267"/>
      <c r="K36" s="267">
        <f>150+615+300+150+165</f>
        <v>1380</v>
      </c>
    </row>
    <row r="37" spans="1:19" x14ac:dyDescent="0.25">
      <c r="A37" s="71"/>
      <c r="B37" s="71"/>
      <c r="C37" s="71"/>
      <c r="D37" s="71"/>
      <c r="E37" s="71"/>
      <c r="F37" s="40"/>
      <c r="G37" s="267"/>
      <c r="H37" s="267"/>
      <c r="I37" s="267"/>
      <c r="J37" s="267"/>
      <c r="K37" s="267"/>
    </row>
    <row r="38" spans="1:19" x14ac:dyDescent="0.25">
      <c r="A38" s="602" t="s">
        <v>372</v>
      </c>
      <c r="B38" s="602"/>
      <c r="C38" s="602"/>
      <c r="D38" s="602"/>
      <c r="E38" s="602"/>
      <c r="F38" s="79" t="e">
        <f t="shared" ref="F38" si="6">F41</f>
        <v>#REF!</v>
      </c>
      <c r="G38" s="79">
        <f>G41</f>
        <v>1327.22</v>
      </c>
      <c r="H38" s="79"/>
      <c r="I38" s="79"/>
      <c r="J38" s="79"/>
      <c r="K38" s="79"/>
    </row>
    <row r="39" spans="1:19" x14ac:dyDescent="0.25">
      <c r="A39" s="166" t="s">
        <v>719</v>
      </c>
      <c r="B39" s="166"/>
      <c r="C39" s="166"/>
      <c r="D39" s="166"/>
      <c r="E39" s="166"/>
      <c r="F39" s="79" t="e">
        <f t="shared" ref="F39:G39" si="7">F41</f>
        <v>#REF!</v>
      </c>
      <c r="G39" s="94">
        <f t="shared" si="7"/>
        <v>1327.22</v>
      </c>
      <c r="H39" s="94">
        <f>H41</f>
        <v>22000</v>
      </c>
      <c r="I39" s="94">
        <f>I41</f>
        <v>4000</v>
      </c>
      <c r="J39" s="94"/>
      <c r="K39" s="94"/>
    </row>
    <row r="40" spans="1:19" x14ac:dyDescent="0.25">
      <c r="A40" s="285"/>
      <c r="B40" s="285"/>
      <c r="C40" s="285"/>
      <c r="D40" s="285"/>
      <c r="E40" s="285"/>
      <c r="F40" s="79"/>
      <c r="G40" s="79"/>
      <c r="H40" s="79"/>
      <c r="I40" s="79"/>
      <c r="J40" s="79"/>
      <c r="K40" s="79"/>
    </row>
    <row r="41" spans="1:19" x14ac:dyDescent="0.25">
      <c r="A41" s="166">
        <v>3</v>
      </c>
      <c r="B41" s="166" t="s">
        <v>18</v>
      </c>
      <c r="C41" s="166"/>
      <c r="D41" s="166"/>
      <c r="E41" s="166"/>
      <c r="F41" s="79" t="e">
        <f t="shared" ref="F41:G41" si="8">F42</f>
        <v>#REF!</v>
      </c>
      <c r="G41" s="79">
        <f t="shared" si="8"/>
        <v>1327.22</v>
      </c>
      <c r="H41" s="79">
        <f t="shared" ref="H41:I43" si="9">H42</f>
        <v>22000</v>
      </c>
      <c r="I41" s="79">
        <f t="shared" si="9"/>
        <v>4000</v>
      </c>
      <c r="J41" s="79"/>
      <c r="K41" s="79"/>
    </row>
    <row r="42" spans="1:19" x14ac:dyDescent="0.25">
      <c r="A42" s="166">
        <v>32</v>
      </c>
      <c r="B42" s="166" t="s">
        <v>155</v>
      </c>
      <c r="C42" s="166"/>
      <c r="D42" s="166"/>
      <c r="E42" s="166"/>
      <c r="F42" s="79" t="e">
        <f>#REF!+F43</f>
        <v>#REF!</v>
      </c>
      <c r="G42" s="79">
        <f>G43</f>
        <v>1327.22</v>
      </c>
      <c r="H42" s="79">
        <f t="shared" si="9"/>
        <v>22000</v>
      </c>
      <c r="I42" s="79">
        <f t="shared" si="9"/>
        <v>4000</v>
      </c>
      <c r="J42" s="79"/>
      <c r="K42" s="79"/>
      <c r="L42" s="33" t="s">
        <v>498</v>
      </c>
      <c r="N42" s="33">
        <v>5000</v>
      </c>
    </row>
    <row r="43" spans="1:19" x14ac:dyDescent="0.25">
      <c r="A43" s="166">
        <v>329</v>
      </c>
      <c r="B43" s="166" t="s">
        <v>182</v>
      </c>
      <c r="C43" s="166"/>
      <c r="D43" s="166"/>
      <c r="E43" s="166"/>
      <c r="F43" s="79">
        <f>SUM(F44:F44)</f>
        <v>0</v>
      </c>
      <c r="G43" s="79">
        <f>SUM(G44:G44)</f>
        <v>1327.22</v>
      </c>
      <c r="H43" s="79">
        <f t="shared" si="9"/>
        <v>22000</v>
      </c>
      <c r="I43" s="79">
        <f t="shared" si="9"/>
        <v>4000</v>
      </c>
      <c r="J43" s="79"/>
      <c r="K43" s="79"/>
      <c r="L43" s="33" t="s">
        <v>499</v>
      </c>
      <c r="N43" s="33">
        <v>9000</v>
      </c>
    </row>
    <row r="44" spans="1:19" x14ac:dyDescent="0.25">
      <c r="A44" s="71">
        <v>3291</v>
      </c>
      <c r="B44" s="71" t="s">
        <v>501</v>
      </c>
      <c r="C44" s="71"/>
      <c r="D44" s="71"/>
      <c r="E44" s="71"/>
      <c r="F44" s="72"/>
      <c r="G44" s="72">
        <f>1327.22</f>
        <v>1327.22</v>
      </c>
      <c r="H44" s="72">
        <f>8000+9000+5000</f>
        <v>22000</v>
      </c>
      <c r="I44" s="72">
        <v>4000</v>
      </c>
      <c r="J44" s="72"/>
      <c r="K44" s="72"/>
      <c r="L44" s="33" t="s">
        <v>500</v>
      </c>
      <c r="N44" s="33">
        <v>8000</v>
      </c>
    </row>
    <row r="45" spans="1:19" x14ac:dyDescent="0.25">
      <c r="A45" s="71"/>
      <c r="B45" s="71"/>
      <c r="C45" s="71"/>
      <c r="D45" s="71"/>
      <c r="E45" s="71"/>
      <c r="F45" s="72"/>
      <c r="G45" s="72"/>
      <c r="H45" s="72"/>
      <c r="I45" s="72"/>
      <c r="J45" s="72"/>
      <c r="K45" s="72"/>
    </row>
    <row r="46" spans="1:19" s="320" customFormat="1" x14ac:dyDescent="0.25">
      <c r="A46" s="95" t="s">
        <v>804</v>
      </c>
      <c r="B46" s="95"/>
      <c r="C46" s="95"/>
      <c r="D46" s="95"/>
      <c r="E46" s="95"/>
      <c r="F46" s="98"/>
      <c r="G46" s="98"/>
      <c r="H46" s="98"/>
      <c r="I46" s="319">
        <f>I48</f>
        <v>20000</v>
      </c>
      <c r="J46" s="319"/>
      <c r="K46" s="98"/>
      <c r="L46" s="122"/>
      <c r="M46" s="122"/>
      <c r="N46" s="122"/>
      <c r="O46" s="122"/>
      <c r="P46" s="122"/>
      <c r="Q46" s="122"/>
      <c r="R46" s="122"/>
      <c r="S46" s="122"/>
    </row>
    <row r="47" spans="1:19" x14ac:dyDescent="0.25">
      <c r="A47" s="166"/>
      <c r="B47" s="166"/>
      <c r="C47" s="166"/>
      <c r="D47" s="166"/>
      <c r="E47" s="166"/>
      <c r="F47" s="72"/>
      <c r="G47" s="72"/>
      <c r="H47" s="72"/>
      <c r="I47" s="72"/>
      <c r="J47" s="72"/>
      <c r="K47" s="72"/>
    </row>
    <row r="48" spans="1:19" x14ac:dyDescent="0.25">
      <c r="A48" s="166">
        <v>3</v>
      </c>
      <c r="B48" s="166" t="s">
        <v>18</v>
      </c>
      <c r="C48" s="166"/>
      <c r="D48" s="166"/>
      <c r="E48" s="166"/>
      <c r="F48" s="72"/>
      <c r="G48" s="72"/>
      <c r="H48" s="72"/>
      <c r="I48" s="79">
        <f>I49</f>
        <v>20000</v>
      </c>
      <c r="J48" s="79"/>
      <c r="K48" s="72"/>
    </row>
    <row r="49" spans="1:19" x14ac:dyDescent="0.25">
      <c r="A49" s="166">
        <v>32</v>
      </c>
      <c r="B49" s="166" t="s">
        <v>155</v>
      </c>
      <c r="C49" s="166"/>
      <c r="D49" s="166"/>
      <c r="E49" s="166"/>
      <c r="F49" s="72"/>
      <c r="G49" s="72"/>
      <c r="H49" s="72"/>
      <c r="I49" s="79">
        <f>I50</f>
        <v>20000</v>
      </c>
      <c r="J49" s="79"/>
      <c r="K49" s="72"/>
    </row>
    <row r="50" spans="1:19" x14ac:dyDescent="0.25">
      <c r="A50" s="166">
        <v>329</v>
      </c>
      <c r="B50" s="166" t="s">
        <v>182</v>
      </c>
      <c r="C50" s="166"/>
      <c r="D50" s="166"/>
      <c r="E50" s="166"/>
      <c r="F50" s="72"/>
      <c r="G50" s="72"/>
      <c r="H50" s="72"/>
      <c r="I50" s="79">
        <f>I51</f>
        <v>20000</v>
      </c>
      <c r="J50" s="79"/>
      <c r="K50" s="72"/>
    </row>
    <row r="51" spans="1:19" x14ac:dyDescent="0.25">
      <c r="A51" s="71">
        <v>3291</v>
      </c>
      <c r="B51" s="71" t="s">
        <v>501</v>
      </c>
      <c r="C51" s="71"/>
      <c r="D51" s="71"/>
      <c r="E51" s="71"/>
      <c r="F51" s="72"/>
      <c r="G51" s="72"/>
      <c r="H51" s="72"/>
      <c r="I51" s="72">
        <v>20000</v>
      </c>
      <c r="J51" s="72"/>
      <c r="K51" s="72"/>
    </row>
    <row r="52" spans="1:19" x14ac:dyDescent="0.25">
      <c r="A52" s="71"/>
      <c r="B52" s="71"/>
      <c r="C52" s="71"/>
      <c r="D52" s="71"/>
      <c r="E52" s="71"/>
      <c r="F52" s="72"/>
      <c r="G52" s="72"/>
      <c r="H52" s="72"/>
      <c r="I52" s="72"/>
      <c r="J52" s="72"/>
      <c r="K52" s="72"/>
    </row>
    <row r="53" spans="1:19" x14ac:dyDescent="0.25">
      <c r="A53" s="571" t="s">
        <v>724</v>
      </c>
      <c r="B53" s="571"/>
      <c r="C53" s="571"/>
      <c r="D53" s="571"/>
      <c r="E53" s="571"/>
      <c r="F53" s="72"/>
      <c r="G53" s="158"/>
      <c r="H53" s="158"/>
      <c r="I53" s="82">
        <f>I54</f>
        <v>14100</v>
      </c>
      <c r="J53" s="82"/>
      <c r="K53" s="158"/>
    </row>
    <row r="54" spans="1:19" x14ac:dyDescent="0.25">
      <c r="A54" s="572" t="s">
        <v>732</v>
      </c>
      <c r="B54" s="572"/>
      <c r="C54" s="572"/>
      <c r="D54" s="572"/>
      <c r="E54" s="572"/>
      <c r="F54" s="72"/>
      <c r="G54" s="302"/>
      <c r="H54" s="302"/>
      <c r="I54" s="94">
        <f>I56</f>
        <v>14100</v>
      </c>
      <c r="J54" s="94"/>
      <c r="K54" s="302"/>
    </row>
    <row r="55" spans="1:19" x14ac:dyDescent="0.25">
      <c r="A55" s="71"/>
      <c r="B55" s="71"/>
      <c r="C55" s="71"/>
      <c r="D55" s="71"/>
      <c r="E55" s="71"/>
      <c r="F55" s="72"/>
      <c r="G55" s="72"/>
      <c r="H55" s="72"/>
      <c r="I55" s="72"/>
      <c r="J55" s="72"/>
      <c r="K55" s="72"/>
    </row>
    <row r="56" spans="1:19" x14ac:dyDescent="0.25">
      <c r="A56" s="166">
        <v>3</v>
      </c>
      <c r="B56" s="166" t="s">
        <v>18</v>
      </c>
      <c r="C56" s="166"/>
      <c r="D56" s="166"/>
      <c r="E56" s="71"/>
      <c r="F56" s="72"/>
      <c r="G56" s="72"/>
      <c r="H56" s="72"/>
      <c r="I56" s="79">
        <f>I57</f>
        <v>14100</v>
      </c>
      <c r="J56" s="79"/>
      <c r="K56" s="72"/>
    </row>
    <row r="57" spans="1:19" x14ac:dyDescent="0.25">
      <c r="A57" s="166">
        <v>32</v>
      </c>
      <c r="B57" s="166" t="s">
        <v>155</v>
      </c>
      <c r="C57" s="166"/>
      <c r="D57" s="166"/>
      <c r="E57" s="71"/>
      <c r="F57" s="72"/>
      <c r="G57" s="72"/>
      <c r="H57" s="72"/>
      <c r="I57" s="79">
        <f>I58+I60+I64</f>
        <v>14100</v>
      </c>
      <c r="J57" s="79"/>
      <c r="K57" s="72"/>
    </row>
    <row r="58" spans="1:19" x14ac:dyDescent="0.25">
      <c r="A58" s="166">
        <v>322</v>
      </c>
      <c r="B58" s="166" t="s">
        <v>728</v>
      </c>
      <c r="C58" s="166"/>
      <c r="D58" s="166"/>
      <c r="E58" s="71"/>
      <c r="F58" s="72"/>
      <c r="G58" s="72"/>
      <c r="H58" s="72"/>
      <c r="I58" s="79">
        <f>I59</f>
        <v>1000</v>
      </c>
      <c r="J58" s="79"/>
      <c r="K58" s="72"/>
    </row>
    <row r="59" spans="1:19" x14ac:dyDescent="0.25">
      <c r="A59" s="71">
        <v>3221</v>
      </c>
      <c r="B59" s="71" t="s">
        <v>727</v>
      </c>
      <c r="C59" s="71"/>
      <c r="D59" s="71"/>
      <c r="E59" s="71"/>
      <c r="F59" s="72"/>
      <c r="G59" s="72"/>
      <c r="H59" s="72"/>
      <c r="I59" s="72">
        <v>1000</v>
      </c>
      <c r="J59" s="72"/>
      <c r="K59" s="72"/>
    </row>
    <row r="60" spans="1:19" s="117" customFormat="1" x14ac:dyDescent="0.25">
      <c r="A60" s="166">
        <v>323</v>
      </c>
      <c r="B60" s="166" t="s">
        <v>729</v>
      </c>
      <c r="C60" s="166"/>
      <c r="D60" s="166"/>
      <c r="E60" s="166"/>
      <c r="F60" s="79"/>
      <c r="G60" s="79"/>
      <c r="H60" s="79"/>
      <c r="I60" s="79">
        <f>I61+I62+I63</f>
        <v>7900</v>
      </c>
      <c r="J60" s="79"/>
      <c r="K60" s="79"/>
      <c r="L60" s="164"/>
      <c r="M60" s="164"/>
      <c r="N60" s="164"/>
      <c r="O60" s="164"/>
      <c r="P60" s="164"/>
      <c r="Q60" s="164"/>
      <c r="R60" s="164"/>
      <c r="S60" s="164"/>
    </row>
    <row r="61" spans="1:19" x14ac:dyDescent="0.25">
      <c r="A61" s="71">
        <v>3235</v>
      </c>
      <c r="B61" s="71" t="s">
        <v>726</v>
      </c>
      <c r="C61" s="71"/>
      <c r="D61" s="71"/>
      <c r="E61" s="71"/>
      <c r="F61" s="72"/>
      <c r="G61" s="72"/>
      <c r="H61" s="72"/>
      <c r="I61" s="72">
        <f>M61+O61+Q61</f>
        <v>3900</v>
      </c>
      <c r="J61" s="72"/>
      <c r="K61" s="72"/>
      <c r="L61" s="33" t="s">
        <v>766</v>
      </c>
      <c r="M61" s="33">
        <f>2*150</f>
        <v>300</v>
      </c>
      <c r="N61" s="33" t="s">
        <v>767</v>
      </c>
      <c r="O61" s="33">
        <f>2*1700</f>
        <v>3400</v>
      </c>
      <c r="P61" s="33" t="s">
        <v>768</v>
      </c>
      <c r="Q61" s="33">
        <f>2*100</f>
        <v>200</v>
      </c>
    </row>
    <row r="62" spans="1:19" x14ac:dyDescent="0.25">
      <c r="A62" s="71">
        <v>3237</v>
      </c>
      <c r="B62" s="71" t="s">
        <v>733</v>
      </c>
      <c r="C62" s="71"/>
      <c r="D62" s="71"/>
      <c r="E62" s="71"/>
      <c r="F62" s="72"/>
      <c r="G62" s="72"/>
      <c r="H62" s="72"/>
      <c r="I62" s="72">
        <v>1000</v>
      </c>
      <c r="J62" s="72"/>
      <c r="K62" s="72"/>
    </row>
    <row r="63" spans="1:19" x14ac:dyDescent="0.25">
      <c r="A63" s="71">
        <v>3237</v>
      </c>
      <c r="B63" s="71" t="s">
        <v>725</v>
      </c>
      <c r="C63" s="71"/>
      <c r="D63" s="71"/>
      <c r="E63" s="71"/>
      <c r="F63" s="72"/>
      <c r="G63" s="72"/>
      <c r="H63" s="72"/>
      <c r="I63" s="72">
        <f>O63+Q63</f>
        <v>3000</v>
      </c>
      <c r="J63" s="72"/>
      <c r="K63" s="72"/>
      <c r="O63" s="33">
        <v>1500</v>
      </c>
      <c r="Q63" s="33">
        <v>1500</v>
      </c>
    </row>
    <row r="64" spans="1:19" s="117" customFormat="1" x14ac:dyDescent="0.25">
      <c r="A64" s="166">
        <v>329</v>
      </c>
      <c r="B64" s="166" t="s">
        <v>730</v>
      </c>
      <c r="C64" s="166"/>
      <c r="D64" s="166"/>
      <c r="E64" s="166"/>
      <c r="F64" s="79"/>
      <c r="G64" s="79"/>
      <c r="H64" s="79"/>
      <c r="I64" s="79">
        <f>I65+I66</f>
        <v>5200</v>
      </c>
      <c r="J64" s="79"/>
      <c r="K64" s="79"/>
      <c r="L64" s="164"/>
      <c r="M64" s="164"/>
      <c r="N64" s="164"/>
      <c r="O64" s="164"/>
      <c r="P64" s="164"/>
      <c r="Q64" s="164"/>
      <c r="R64" s="164"/>
      <c r="S64" s="164"/>
    </row>
    <row r="65" spans="1:22" x14ac:dyDescent="0.25">
      <c r="A65" s="71">
        <v>3293</v>
      </c>
      <c r="B65" s="71" t="s">
        <v>731</v>
      </c>
      <c r="C65" s="71"/>
      <c r="D65" s="71"/>
      <c r="E65" s="71"/>
      <c r="F65" s="72"/>
      <c r="G65" s="72"/>
      <c r="H65" s="72"/>
      <c r="I65" s="72">
        <f>M65+O65+Q65</f>
        <v>5000</v>
      </c>
      <c r="J65" s="72"/>
      <c r="K65" s="72"/>
      <c r="L65" s="33" t="s">
        <v>782</v>
      </c>
      <c r="M65" s="33">
        <v>4000</v>
      </c>
      <c r="N65" s="33" t="s">
        <v>784</v>
      </c>
      <c r="O65" s="33">
        <v>500</v>
      </c>
      <c r="P65" s="33" t="s">
        <v>785</v>
      </c>
      <c r="Q65" s="33">
        <v>500</v>
      </c>
    </row>
    <row r="66" spans="1:22" x14ac:dyDescent="0.25">
      <c r="A66" s="286">
        <v>3295</v>
      </c>
      <c r="B66" s="71" t="s">
        <v>783</v>
      </c>
      <c r="C66" s="286"/>
      <c r="D66" s="286"/>
      <c r="E66" s="286"/>
      <c r="F66" s="40"/>
      <c r="G66" s="40"/>
      <c r="H66" s="40"/>
      <c r="I66" s="40">
        <v>200</v>
      </c>
      <c r="J66" s="40"/>
      <c r="K66" s="40"/>
    </row>
    <row r="67" spans="1:22" x14ac:dyDescent="0.25">
      <c r="A67" s="286"/>
      <c r="B67" s="71"/>
      <c r="C67" s="286"/>
      <c r="D67" s="286"/>
      <c r="E67" s="286"/>
      <c r="F67" s="40"/>
      <c r="G67" s="40"/>
      <c r="H67" s="40"/>
      <c r="I67" s="40"/>
      <c r="J67" s="40"/>
      <c r="K67" s="40"/>
    </row>
    <row r="68" spans="1:22" ht="15.75" x14ac:dyDescent="0.25">
      <c r="A68" s="87" t="s">
        <v>69</v>
      </c>
      <c r="B68" s="87"/>
      <c r="C68" s="87"/>
      <c r="D68" s="87"/>
      <c r="E68" s="87"/>
      <c r="F68" s="97" t="e">
        <f>F69+F189+F212+F489+F577+F599+F627+F691</f>
        <v>#REF!</v>
      </c>
      <c r="G68" s="97" t="e">
        <f>G69+G189+G212+G489+G577+G599+G627+G691</f>
        <v>#REF!</v>
      </c>
      <c r="H68" s="97">
        <f>H69+H189+H212+H489+H577+H599+H627+H691</f>
        <v>1949951</v>
      </c>
      <c r="I68" s="97">
        <f>I69+I189+I213+I489+I577+I599+I627+I691</f>
        <v>2148874</v>
      </c>
      <c r="J68" s="97"/>
      <c r="K68" s="288"/>
    </row>
    <row r="69" spans="1:22" x14ac:dyDescent="0.25">
      <c r="A69" s="89" t="s">
        <v>187</v>
      </c>
      <c r="B69" s="89"/>
      <c r="C69" s="89"/>
      <c r="D69" s="89"/>
      <c r="E69" s="89"/>
      <c r="F69" s="90" t="e">
        <f>F70+F175</f>
        <v>#REF!</v>
      </c>
      <c r="G69" s="90" t="e">
        <f>G70+G175</f>
        <v>#REF!</v>
      </c>
      <c r="H69" s="90">
        <f>H70+H166+H175</f>
        <v>297966</v>
      </c>
      <c r="I69" s="90">
        <f>I70+I166+I175</f>
        <v>314301</v>
      </c>
      <c r="J69" s="90"/>
      <c r="K69" s="79"/>
    </row>
    <row r="70" spans="1:22" x14ac:dyDescent="0.25">
      <c r="A70" s="571" t="s">
        <v>188</v>
      </c>
      <c r="B70" s="571"/>
      <c r="C70" s="571"/>
      <c r="D70" s="571"/>
      <c r="E70" s="571"/>
      <c r="F70" s="82" t="e">
        <f>F73+#REF!+#REF!+#REF!+F168</f>
        <v>#REF!</v>
      </c>
      <c r="G70" s="82" t="e">
        <f>G72+#REF!+#REF!+#REF!+G168++#REF!+#REF!+#REF!</f>
        <v>#REF!</v>
      </c>
      <c r="H70" s="82">
        <f>H72+H140+H156+H148</f>
        <v>265976</v>
      </c>
      <c r="I70" s="82">
        <f>I73+I140+I148+I156</f>
        <v>287400</v>
      </c>
      <c r="J70" s="82"/>
      <c r="K70" s="79"/>
    </row>
    <row r="71" spans="1:22" x14ac:dyDescent="0.25">
      <c r="A71" s="602" t="s">
        <v>372</v>
      </c>
      <c r="B71" s="602"/>
      <c r="C71" s="602"/>
      <c r="D71" s="602"/>
      <c r="E71" s="602"/>
      <c r="F71" s="98"/>
      <c r="G71" s="98"/>
      <c r="H71" s="98"/>
      <c r="I71" s="98"/>
      <c r="J71" s="98"/>
      <c r="K71" s="72"/>
    </row>
    <row r="72" spans="1:22" x14ac:dyDescent="0.25">
      <c r="A72" s="96" t="s">
        <v>189</v>
      </c>
      <c r="B72" s="99"/>
      <c r="C72" s="99"/>
      <c r="D72" s="99"/>
      <c r="E72" s="99"/>
      <c r="F72" s="289"/>
      <c r="G72" s="587" t="e">
        <f>G75+#REF!</f>
        <v>#REF!</v>
      </c>
      <c r="H72" s="587">
        <f>H75</f>
        <v>211476</v>
      </c>
      <c r="I72" s="155"/>
      <c r="J72" s="155"/>
      <c r="K72" s="235"/>
    </row>
    <row r="73" spans="1:22" x14ac:dyDescent="0.25">
      <c r="A73" s="590" t="s">
        <v>190</v>
      </c>
      <c r="B73" s="590"/>
      <c r="C73" s="590"/>
      <c r="D73" s="590"/>
      <c r="E73" s="590"/>
      <c r="F73" s="93" t="e">
        <f>F75+#REF!</f>
        <v>#REF!</v>
      </c>
      <c r="G73" s="587"/>
      <c r="H73" s="587"/>
      <c r="I73" s="155">
        <f>I75</f>
        <v>252900</v>
      </c>
      <c r="J73" s="155"/>
      <c r="K73" s="102">
        <f>K78+K80+K82+K85+K86+K89+K90+K91+K92+K93+K94+K95+K96+K97+K98+K100+K101+K102+K103+K104+K105+K106+K107+K108+K109+K110+K112+K113+K115+K117+K118+K119+K120+K124+K123+K125+K127+K128+K130+K131+K137+K132+K134+K135+K136</f>
        <v>145652.10999999996</v>
      </c>
    </row>
    <row r="74" spans="1:22" x14ac:dyDescent="0.25">
      <c r="A74" s="286"/>
      <c r="B74" s="286"/>
      <c r="C74" s="286"/>
      <c r="D74" s="286"/>
      <c r="E74" s="286"/>
      <c r="F74" s="40"/>
      <c r="G74" s="267"/>
      <c r="H74" s="267"/>
      <c r="I74" s="267"/>
      <c r="J74" s="267"/>
      <c r="K74" s="267"/>
    </row>
    <row r="75" spans="1:22" x14ac:dyDescent="0.25">
      <c r="A75" s="166">
        <v>3</v>
      </c>
      <c r="B75" s="166" t="s">
        <v>18</v>
      </c>
      <c r="C75" s="166"/>
      <c r="D75" s="166"/>
      <c r="E75" s="166"/>
      <c r="F75" s="79">
        <f>F76+F83</f>
        <v>611212.10999999987</v>
      </c>
      <c r="G75" s="79">
        <f>G76+G83</f>
        <v>181195.16888977369</v>
      </c>
      <c r="H75" s="79">
        <f>H76+H83</f>
        <v>211476</v>
      </c>
      <c r="I75" s="79">
        <f>I76+I83+I133</f>
        <v>252900</v>
      </c>
      <c r="J75" s="79"/>
      <c r="K75" s="79"/>
      <c r="M75" s="122" t="s">
        <v>793</v>
      </c>
      <c r="N75" s="122"/>
      <c r="O75" s="122"/>
      <c r="P75" s="122"/>
      <c r="Q75" s="122"/>
    </row>
    <row r="76" spans="1:22" x14ac:dyDescent="0.25">
      <c r="A76" s="166">
        <v>31</v>
      </c>
      <c r="B76" s="166" t="s">
        <v>151</v>
      </c>
      <c r="C76" s="166"/>
      <c r="D76" s="166"/>
      <c r="E76" s="166"/>
      <c r="F76" s="79">
        <f>F77+F79+F81</f>
        <v>344338.18999999994</v>
      </c>
      <c r="G76" s="79">
        <f>G77+G79+G81</f>
        <v>84716.96861105581</v>
      </c>
      <c r="H76" s="79">
        <f>H77+H79+H81</f>
        <v>115860</v>
      </c>
      <c r="I76" s="79">
        <f>I77+I79+I81</f>
        <v>139487</v>
      </c>
      <c r="J76" s="79"/>
      <c r="K76" s="79"/>
    </row>
    <row r="77" spans="1:22" x14ac:dyDescent="0.25">
      <c r="A77" s="166">
        <v>311</v>
      </c>
      <c r="B77" s="166" t="s">
        <v>191</v>
      </c>
      <c r="C77" s="166"/>
      <c r="D77" s="166"/>
      <c r="E77" s="166"/>
      <c r="F77" s="79">
        <f>SUM(F78:F78)</f>
        <v>290457.34999999998</v>
      </c>
      <c r="G77" s="79">
        <f>G78</f>
        <v>72466.653394385823</v>
      </c>
      <c r="H77" s="79">
        <f>H78</f>
        <v>96360</v>
      </c>
      <c r="I77" s="79">
        <f>I78</f>
        <v>115836</v>
      </c>
      <c r="J77" s="79"/>
      <c r="K77" s="79"/>
      <c r="L77" s="33" t="s">
        <v>485</v>
      </c>
      <c r="M77" s="33" t="s">
        <v>486</v>
      </c>
      <c r="N77" s="33" t="s">
        <v>487</v>
      </c>
      <c r="O77" s="33" t="s">
        <v>488</v>
      </c>
      <c r="P77" s="33" t="s">
        <v>489</v>
      </c>
      <c r="Q77" s="33" t="s">
        <v>792</v>
      </c>
    </row>
    <row r="78" spans="1:22" x14ac:dyDescent="0.25">
      <c r="A78" s="286">
        <v>3111</v>
      </c>
      <c r="B78" s="286" t="s">
        <v>337</v>
      </c>
      <c r="C78" s="286"/>
      <c r="D78" s="286"/>
      <c r="E78" s="286"/>
      <c r="F78" s="40">
        <v>290457.34999999998</v>
      </c>
      <c r="G78" s="267">
        <f>546000/7.5345</f>
        <v>72466.653394385823</v>
      </c>
      <c r="H78" s="267">
        <f>21600+17400+18480+15360+12720+10800</f>
        <v>96360</v>
      </c>
      <c r="I78" s="267">
        <f>L78+M78+N78+O78+P78+Q78</f>
        <v>115836</v>
      </c>
      <c r="J78" s="267"/>
      <c r="K78" s="267">
        <f>49326.73+3450.29+12615.83</f>
        <v>65392.850000000006</v>
      </c>
      <c r="L78" s="33">
        <f>2320*12</f>
        <v>27840</v>
      </c>
      <c r="M78" s="33">
        <f>1850*12</f>
        <v>22200</v>
      </c>
      <c r="N78" s="33">
        <f>1853*12</f>
        <v>22236</v>
      </c>
      <c r="O78" s="33">
        <f>1430*12</f>
        <v>17160</v>
      </c>
      <c r="P78" s="33">
        <f>1200*12</f>
        <v>14400</v>
      </c>
      <c r="Q78" s="33">
        <f>1000*12</f>
        <v>12000</v>
      </c>
    </row>
    <row r="79" spans="1:22" x14ac:dyDescent="0.25">
      <c r="A79" s="166">
        <v>312</v>
      </c>
      <c r="B79" s="166" t="s">
        <v>153</v>
      </c>
      <c r="C79" s="166"/>
      <c r="D79" s="166"/>
      <c r="E79" s="166"/>
      <c r="F79" s="79">
        <f t="shared" ref="F79" si="10">F80</f>
        <v>7500</v>
      </c>
      <c r="G79" s="79">
        <f>G80</f>
        <v>3185.3474019510249</v>
      </c>
      <c r="H79" s="79">
        <f>H80</f>
        <v>3600</v>
      </c>
      <c r="I79" s="79">
        <f>I80</f>
        <v>4536</v>
      </c>
      <c r="J79" s="79"/>
      <c r="K79" s="79"/>
    </row>
    <row r="80" spans="1:22" x14ac:dyDescent="0.25">
      <c r="A80" s="286">
        <v>3121</v>
      </c>
      <c r="B80" s="575" t="s">
        <v>781</v>
      </c>
      <c r="C80" s="575"/>
      <c r="D80" s="575"/>
      <c r="E80" s="575"/>
      <c r="F80" s="40">
        <f>7500</f>
        <v>7500</v>
      </c>
      <c r="G80" s="267">
        <f>24000/7.5345</f>
        <v>3185.3474019510249</v>
      </c>
      <c r="H80" s="267">
        <f>1800+1800</f>
        <v>3600</v>
      </c>
      <c r="I80" s="267">
        <f>2100+2100+336</f>
        <v>4536</v>
      </c>
      <c r="J80" s="267"/>
      <c r="K80" s="267">
        <v>1800</v>
      </c>
      <c r="L80" s="33">
        <f>300*6</f>
        <v>1800</v>
      </c>
      <c r="M80" s="33" t="s">
        <v>484</v>
      </c>
      <c r="P80" s="33" t="s">
        <v>778</v>
      </c>
      <c r="Q80" s="33">
        <f>350*6</f>
        <v>2100</v>
      </c>
      <c r="R80" s="33" t="s">
        <v>779</v>
      </c>
      <c r="T80" t="s">
        <v>780</v>
      </c>
      <c r="V80">
        <v>336</v>
      </c>
    </row>
    <row r="81" spans="1:17" x14ac:dyDescent="0.25">
      <c r="A81" s="166">
        <v>313</v>
      </c>
      <c r="B81" s="166" t="s">
        <v>154</v>
      </c>
      <c r="C81" s="166"/>
      <c r="D81" s="166"/>
      <c r="E81" s="166"/>
      <c r="F81" s="79">
        <f>SUM(F82:F82)</f>
        <v>46380.84</v>
      </c>
      <c r="G81" s="79">
        <f>SUM(G82:G82)</f>
        <v>9064.9678147189588</v>
      </c>
      <c r="H81" s="79">
        <f>H82</f>
        <v>15900</v>
      </c>
      <c r="I81" s="79">
        <f>I82</f>
        <v>19115</v>
      </c>
      <c r="J81" s="79"/>
      <c r="K81" s="79"/>
    </row>
    <row r="82" spans="1:17" x14ac:dyDescent="0.25">
      <c r="A82" s="286">
        <v>3132</v>
      </c>
      <c r="B82" s="286" t="s">
        <v>173</v>
      </c>
      <c r="C82" s="286"/>
      <c r="D82" s="286"/>
      <c r="E82" s="286"/>
      <c r="F82" s="40">
        <v>46380.84</v>
      </c>
      <c r="G82" s="267">
        <f>68300/7.5345</f>
        <v>9064.9678147189588</v>
      </c>
      <c r="H82" s="267">
        <v>15900</v>
      </c>
      <c r="I82" s="267">
        <v>19115</v>
      </c>
      <c r="J82" s="267"/>
      <c r="K82" s="267">
        <v>10934.03</v>
      </c>
      <c r="L82" s="33">
        <f>I78*16.5/100</f>
        <v>19112.939999999999</v>
      </c>
    </row>
    <row r="83" spans="1:17" x14ac:dyDescent="0.25">
      <c r="A83" s="166">
        <v>32</v>
      </c>
      <c r="B83" s="166" t="s">
        <v>155</v>
      </c>
      <c r="C83" s="166"/>
      <c r="D83" s="166"/>
      <c r="E83" s="166"/>
      <c r="F83" s="79">
        <f>F84+F88+F99+F126</f>
        <v>266873.92</v>
      </c>
      <c r="G83" s="79">
        <f>G84+G88+G99+G126</f>
        <v>96478.200278717879</v>
      </c>
      <c r="H83" s="79">
        <f>H84+H88+H99+H126</f>
        <v>95616</v>
      </c>
      <c r="I83" s="79">
        <f>I84+I88+I99+I126</f>
        <v>109981</v>
      </c>
      <c r="J83" s="79"/>
      <c r="K83" s="79"/>
    </row>
    <row r="84" spans="1:17" x14ac:dyDescent="0.25">
      <c r="A84" s="166">
        <v>321</v>
      </c>
      <c r="B84" s="166" t="s">
        <v>156</v>
      </c>
      <c r="C84" s="166"/>
      <c r="D84" s="166"/>
      <c r="E84" s="166"/>
      <c r="F84" s="79">
        <f>SUM(F85:F87)</f>
        <v>23282.5</v>
      </c>
      <c r="G84" s="79">
        <f>SUM(G85:G87)</f>
        <v>5614.1747959386821</v>
      </c>
      <c r="H84" s="79">
        <f>H85+H87+H86</f>
        <v>6356</v>
      </c>
      <c r="I84" s="79">
        <f>I85+I86+I87</f>
        <v>6100</v>
      </c>
      <c r="J84" s="79"/>
      <c r="K84" s="79"/>
    </row>
    <row r="85" spans="1:17" x14ac:dyDescent="0.25">
      <c r="A85" s="286">
        <v>3214</v>
      </c>
      <c r="B85" s="286" t="s">
        <v>174</v>
      </c>
      <c r="C85" s="286"/>
      <c r="D85" s="286"/>
      <c r="E85" s="286"/>
      <c r="F85" s="40">
        <f>308</f>
        <v>308</v>
      </c>
      <c r="G85" s="267">
        <f>4000/7.5345</f>
        <v>530.89123365850423</v>
      </c>
      <c r="H85" s="267">
        <v>1000</v>
      </c>
      <c r="I85" s="267">
        <v>1000</v>
      </c>
      <c r="J85" s="267"/>
      <c r="K85" s="267">
        <v>248</v>
      </c>
    </row>
    <row r="86" spans="1:17" x14ac:dyDescent="0.25">
      <c r="A86" s="286">
        <v>3212</v>
      </c>
      <c r="B86" s="286" t="s">
        <v>193</v>
      </c>
      <c r="C86" s="286"/>
      <c r="D86" s="286"/>
      <c r="E86" s="286"/>
      <c r="F86" s="40">
        <v>22474.5</v>
      </c>
      <c r="G86" s="267">
        <f>33300/7.5345</f>
        <v>4419.6695202070478</v>
      </c>
      <c r="H86" s="267">
        <f>6*22*11*3</f>
        <v>4356</v>
      </c>
      <c r="I86" s="267">
        <v>4100</v>
      </c>
      <c r="J86" s="267"/>
      <c r="K86" s="267">
        <v>2829.56</v>
      </c>
      <c r="L86" s="33" t="s">
        <v>482</v>
      </c>
      <c r="O86" s="33" t="s">
        <v>483</v>
      </c>
      <c r="Q86" s="33">
        <f>5.57*22*11*3</f>
        <v>4043.82</v>
      </c>
    </row>
    <row r="87" spans="1:17" x14ac:dyDescent="0.25">
      <c r="A87" s="286">
        <v>3213</v>
      </c>
      <c r="B87" s="286" t="s">
        <v>194</v>
      </c>
      <c r="C87" s="286"/>
      <c r="D87" s="286"/>
      <c r="E87" s="286"/>
      <c r="F87" s="40">
        <v>500</v>
      </c>
      <c r="G87" s="267">
        <f>5000/7.5345</f>
        <v>663.61404207313024</v>
      </c>
      <c r="H87" s="267">
        <v>1000</v>
      </c>
      <c r="I87" s="267">
        <v>1000</v>
      </c>
      <c r="J87" s="267"/>
      <c r="K87" s="267"/>
    </row>
    <row r="88" spans="1:17" x14ac:dyDescent="0.25">
      <c r="A88" s="166">
        <v>322</v>
      </c>
      <c r="B88" s="166" t="s">
        <v>157</v>
      </c>
      <c r="C88" s="166"/>
      <c r="D88" s="166"/>
      <c r="E88" s="166"/>
      <c r="F88" s="79">
        <f>SUM(F89:F98)</f>
        <v>83141.78</v>
      </c>
      <c r="G88" s="79">
        <f>SUM(G89:G98)</f>
        <v>28993.96111221713</v>
      </c>
      <c r="H88" s="79">
        <f>SUM(H89:H98)</f>
        <v>26300</v>
      </c>
      <c r="I88" s="79">
        <f>SUM(I89:I98)</f>
        <v>25563</v>
      </c>
      <c r="J88" s="79"/>
      <c r="K88" s="79"/>
    </row>
    <row r="89" spans="1:17" x14ac:dyDescent="0.25">
      <c r="A89" s="286">
        <v>3221</v>
      </c>
      <c r="B89" s="286" t="s">
        <v>195</v>
      </c>
      <c r="C89" s="286"/>
      <c r="D89" s="286"/>
      <c r="E89" s="286"/>
      <c r="F89" s="40">
        <f>4992.68+3568.86</f>
        <v>8561.5400000000009</v>
      </c>
      <c r="G89" s="40">
        <f>15000/7.5345</f>
        <v>1990.8421262193906</v>
      </c>
      <c r="H89" s="40">
        <v>1500</v>
      </c>
      <c r="I89" s="40">
        <v>1500</v>
      </c>
      <c r="J89" s="40"/>
      <c r="K89" s="40">
        <f>851.53+140</f>
        <v>991.53</v>
      </c>
    </row>
    <row r="90" spans="1:17" x14ac:dyDescent="0.25">
      <c r="A90" s="286">
        <v>3221</v>
      </c>
      <c r="B90" s="71" t="s">
        <v>196</v>
      </c>
      <c r="C90" s="286"/>
      <c r="D90" s="286"/>
      <c r="E90" s="286"/>
      <c r="F90" s="40">
        <v>4405.5</v>
      </c>
      <c r="G90" s="40">
        <f>15000/7.5345</f>
        <v>1990.8421262193906</v>
      </c>
      <c r="H90" s="40">
        <v>1900</v>
      </c>
      <c r="I90" s="40">
        <v>1000</v>
      </c>
      <c r="J90" s="40"/>
      <c r="K90" s="40">
        <v>378.46</v>
      </c>
    </row>
    <row r="91" spans="1:17" x14ac:dyDescent="0.25">
      <c r="A91" s="286">
        <v>3221</v>
      </c>
      <c r="B91" s="553" t="s">
        <v>346</v>
      </c>
      <c r="C91" s="584"/>
      <c r="D91" s="584"/>
      <c r="E91" s="584"/>
      <c r="F91" s="72"/>
      <c r="G91" s="40">
        <f>5000/7.5345</f>
        <v>663.61404207313024</v>
      </c>
      <c r="H91" s="40">
        <v>600</v>
      </c>
      <c r="I91" s="40">
        <v>500</v>
      </c>
      <c r="J91" s="40"/>
      <c r="K91" s="40">
        <v>323.08</v>
      </c>
    </row>
    <row r="92" spans="1:17" x14ac:dyDescent="0.25">
      <c r="A92" s="286">
        <v>322</v>
      </c>
      <c r="B92" s="280" t="s">
        <v>511</v>
      </c>
      <c r="C92" s="291"/>
      <c r="D92" s="291"/>
      <c r="E92" s="291"/>
      <c r="F92" s="72"/>
      <c r="G92" s="40"/>
      <c r="H92" s="40">
        <v>2000</v>
      </c>
      <c r="I92" s="40">
        <v>1500</v>
      </c>
      <c r="J92" s="40"/>
      <c r="K92" s="40">
        <v>713.34</v>
      </c>
    </row>
    <row r="93" spans="1:17" x14ac:dyDescent="0.25">
      <c r="A93" s="286">
        <v>3221</v>
      </c>
      <c r="B93" s="286" t="s">
        <v>197</v>
      </c>
      <c r="C93" s="286"/>
      <c r="D93" s="286"/>
      <c r="E93" s="286"/>
      <c r="F93" s="40">
        <f>109.86+39.95</f>
        <v>149.81</v>
      </c>
      <c r="G93" s="40">
        <f>5000/7.5345</f>
        <v>663.61404207313024</v>
      </c>
      <c r="H93" s="40">
        <v>500</v>
      </c>
      <c r="I93" s="40">
        <v>500</v>
      </c>
      <c r="J93" s="40"/>
      <c r="K93" s="40">
        <v>146.25</v>
      </c>
    </row>
    <row r="94" spans="1:17" x14ac:dyDescent="0.25">
      <c r="A94" s="286">
        <v>3223</v>
      </c>
      <c r="B94" s="286" t="s">
        <v>198</v>
      </c>
      <c r="C94" s="286"/>
      <c r="D94" s="286"/>
      <c r="E94" s="286"/>
      <c r="F94" s="40">
        <v>31083.14</v>
      </c>
      <c r="G94" s="40">
        <f>70000/7.5345</f>
        <v>9290.596589023824</v>
      </c>
      <c r="H94" s="40">
        <f>10000-2000</f>
        <v>8000</v>
      </c>
      <c r="I94" s="40">
        <f>10000-1000</f>
        <v>9000</v>
      </c>
      <c r="J94" s="40"/>
      <c r="K94" s="40">
        <v>7716.83</v>
      </c>
    </row>
    <row r="95" spans="1:17" x14ac:dyDescent="0.25">
      <c r="A95" s="286">
        <v>3223</v>
      </c>
      <c r="B95" s="71" t="s">
        <v>199</v>
      </c>
      <c r="C95" s="286"/>
      <c r="D95" s="286"/>
      <c r="E95" s="286"/>
      <c r="F95" s="40">
        <f>28064.99+4279.23</f>
        <v>32344.22</v>
      </c>
      <c r="G95" s="40">
        <f>80000/7.5345</f>
        <v>10617.824673170084</v>
      </c>
      <c r="H95" s="40">
        <f>10000-2000</f>
        <v>8000</v>
      </c>
      <c r="I95" s="40">
        <f>8000-1000</f>
        <v>7000</v>
      </c>
      <c r="J95" s="40"/>
      <c r="K95" s="40">
        <v>3793.44</v>
      </c>
    </row>
    <row r="96" spans="1:17" x14ac:dyDescent="0.25">
      <c r="A96" s="286">
        <v>3224</v>
      </c>
      <c r="B96" s="71" t="s">
        <v>509</v>
      </c>
      <c r="C96" s="286"/>
      <c r="D96" s="286"/>
      <c r="E96" s="286"/>
      <c r="F96" s="40"/>
      <c r="G96" s="40"/>
      <c r="H96" s="40">
        <v>1000</v>
      </c>
      <c r="I96" s="40">
        <v>1000</v>
      </c>
      <c r="J96" s="40"/>
      <c r="K96" s="40">
        <f>796.98+109.38</f>
        <v>906.36</v>
      </c>
    </row>
    <row r="97" spans="1:20" x14ac:dyDescent="0.25">
      <c r="A97" s="286">
        <v>3225</v>
      </c>
      <c r="B97" s="286" t="s">
        <v>200</v>
      </c>
      <c r="C97" s="286"/>
      <c r="D97" s="286"/>
      <c r="E97" s="286"/>
      <c r="F97" s="40">
        <v>5115.7700000000004</v>
      </c>
      <c r="G97" s="40">
        <f>22000/7.5345</f>
        <v>2919.9017851217732</v>
      </c>
      <c r="H97" s="40">
        <v>2000</v>
      </c>
      <c r="I97" s="40">
        <v>3000</v>
      </c>
      <c r="J97" s="40"/>
      <c r="K97" s="40">
        <v>2215.41</v>
      </c>
    </row>
    <row r="98" spans="1:20" x14ac:dyDescent="0.25">
      <c r="A98" s="286">
        <v>3227</v>
      </c>
      <c r="B98" s="286" t="s">
        <v>201</v>
      </c>
      <c r="C98" s="286"/>
      <c r="D98" s="286"/>
      <c r="E98" s="286"/>
      <c r="F98" s="40">
        <v>1481.8</v>
      </c>
      <c r="G98" s="40">
        <f>6455/7.5345</f>
        <v>856.72572831641116</v>
      </c>
      <c r="H98" s="40">
        <v>800</v>
      </c>
      <c r="I98" s="40">
        <f>600-37</f>
        <v>563</v>
      </c>
      <c r="J98" s="40"/>
      <c r="K98" s="40">
        <v>262.38</v>
      </c>
    </row>
    <row r="99" spans="1:20" x14ac:dyDescent="0.25">
      <c r="A99" s="166">
        <v>323</v>
      </c>
      <c r="B99" s="166" t="s">
        <v>158</v>
      </c>
      <c r="C99" s="166"/>
      <c r="D99" s="166"/>
      <c r="E99" s="166"/>
      <c r="F99" s="79">
        <f>SUM(F100:F125)</f>
        <v>121240.9</v>
      </c>
      <c r="G99" s="79">
        <f>SUM(G100:G125)</f>
        <v>52977.636206782125</v>
      </c>
      <c r="H99" s="79">
        <f>SUM(H100:H125)</f>
        <v>54428</v>
      </c>
      <c r="I99" s="79">
        <f>SUM(I100:I125)</f>
        <v>58286</v>
      </c>
      <c r="J99" s="79"/>
      <c r="K99" s="79"/>
    </row>
    <row r="100" spans="1:20" x14ac:dyDescent="0.25">
      <c r="A100" s="286">
        <v>3231</v>
      </c>
      <c r="B100" s="71" t="s">
        <v>202</v>
      </c>
      <c r="C100" s="286"/>
      <c r="D100" s="286"/>
      <c r="E100" s="286"/>
      <c r="F100" s="40">
        <v>8099.4</v>
      </c>
      <c r="G100" s="40">
        <f>14000/7.5345</f>
        <v>1858.1193178047647</v>
      </c>
      <c r="H100" s="40">
        <f>130*12</f>
        <v>1560</v>
      </c>
      <c r="I100" s="40">
        <f>M100+O100+Q100</f>
        <v>2034</v>
      </c>
      <c r="J100" s="40"/>
      <c r="K100" s="40">
        <v>1260.2</v>
      </c>
      <c r="L100" s="33" t="s">
        <v>775</v>
      </c>
      <c r="M100" s="33">
        <f>7.5*12</f>
        <v>90</v>
      </c>
      <c r="N100" s="33" t="s">
        <v>776</v>
      </c>
      <c r="O100" s="33">
        <f>12*12</f>
        <v>144</v>
      </c>
      <c r="P100" s="33" t="s">
        <v>777</v>
      </c>
      <c r="Q100" s="33">
        <f>150*12</f>
        <v>1800</v>
      </c>
    </row>
    <row r="101" spans="1:20" x14ac:dyDescent="0.25">
      <c r="A101" s="286">
        <v>3231</v>
      </c>
      <c r="B101" s="286" t="s">
        <v>203</v>
      </c>
      <c r="C101" s="286"/>
      <c r="D101" s="286"/>
      <c r="E101" s="286"/>
      <c r="F101" s="40">
        <v>8237.09</v>
      </c>
      <c r="G101" s="40">
        <f>10000/7.5345</f>
        <v>1327.2280841462605</v>
      </c>
      <c r="H101" s="40">
        <v>1300</v>
      </c>
      <c r="I101" s="40">
        <v>1300</v>
      </c>
      <c r="J101" s="40"/>
      <c r="K101" s="40">
        <v>867.68</v>
      </c>
    </row>
    <row r="102" spans="1:20" x14ac:dyDescent="0.25">
      <c r="A102" s="286">
        <v>3231</v>
      </c>
      <c r="B102" s="286" t="s">
        <v>204</v>
      </c>
      <c r="C102" s="286"/>
      <c r="D102" s="286"/>
      <c r="E102" s="286"/>
      <c r="F102" s="40"/>
      <c r="G102" s="267">
        <f>5000/7.5345</f>
        <v>663.61404207313024</v>
      </c>
      <c r="H102" s="267">
        <v>600</v>
      </c>
      <c r="I102" s="267">
        <v>600</v>
      </c>
      <c r="J102" s="267"/>
      <c r="K102" s="267">
        <v>600</v>
      </c>
    </row>
    <row r="103" spans="1:20" x14ac:dyDescent="0.25">
      <c r="A103" s="71">
        <v>3234</v>
      </c>
      <c r="B103" s="71" t="s">
        <v>330</v>
      </c>
      <c r="C103" s="71"/>
      <c r="D103" s="71"/>
      <c r="E103" s="71"/>
      <c r="F103" s="72"/>
      <c r="G103" s="267">
        <f>2160/7.5345</f>
        <v>286.68126617559227</v>
      </c>
      <c r="H103" s="267">
        <f>24*12</f>
        <v>288</v>
      </c>
      <c r="I103" s="267">
        <f>24*12</f>
        <v>288</v>
      </c>
      <c r="J103" s="267"/>
      <c r="K103" s="267">
        <v>209.52</v>
      </c>
      <c r="L103" s="33">
        <f>24*12</f>
        <v>288</v>
      </c>
    </row>
    <row r="104" spans="1:20" x14ac:dyDescent="0.25">
      <c r="A104" s="71">
        <v>3232</v>
      </c>
      <c r="B104" s="71" t="s">
        <v>508</v>
      </c>
      <c r="C104" s="71"/>
      <c r="D104" s="71"/>
      <c r="E104" s="71"/>
      <c r="F104" s="72"/>
      <c r="G104" s="267">
        <f>6000/7.5345</f>
        <v>796.33685048775624</v>
      </c>
      <c r="H104" s="267">
        <v>1000</v>
      </c>
      <c r="I104" s="267">
        <v>1000</v>
      </c>
      <c r="J104" s="267"/>
      <c r="K104" s="267">
        <f>568.87</f>
        <v>568.87</v>
      </c>
    </row>
    <row r="105" spans="1:20" x14ac:dyDescent="0.25">
      <c r="A105" s="71">
        <v>3232</v>
      </c>
      <c r="B105" s="71" t="s">
        <v>459</v>
      </c>
      <c r="C105" s="71"/>
      <c r="D105" s="71"/>
      <c r="E105" s="71"/>
      <c r="F105" s="72"/>
      <c r="G105" s="267">
        <f>30000/7.5345</f>
        <v>3981.6842524387812</v>
      </c>
      <c r="H105" s="267">
        <f>6000-1000</f>
        <v>5000</v>
      </c>
      <c r="I105" s="267">
        <v>5000</v>
      </c>
      <c r="J105" s="267"/>
      <c r="K105" s="267">
        <v>3595.25</v>
      </c>
    </row>
    <row r="106" spans="1:20" x14ac:dyDescent="0.25">
      <c r="A106" s="71">
        <v>3232</v>
      </c>
      <c r="B106" s="71" t="s">
        <v>510</v>
      </c>
      <c r="C106" s="71"/>
      <c r="D106" s="71"/>
      <c r="E106" s="71"/>
      <c r="F106" s="72">
        <f>2257.51+1200</f>
        <v>3457.51</v>
      </c>
      <c r="G106" s="267">
        <f>5000/7.5345</f>
        <v>663.61404207313024</v>
      </c>
      <c r="H106" s="267">
        <v>2000</v>
      </c>
      <c r="I106" s="267">
        <f>2000+2000</f>
        <v>4000</v>
      </c>
      <c r="J106" s="267"/>
      <c r="K106" s="267">
        <v>1098</v>
      </c>
      <c r="L106" s="33" t="s">
        <v>801</v>
      </c>
    </row>
    <row r="107" spans="1:20" x14ac:dyDescent="0.25">
      <c r="A107" s="286">
        <v>3233</v>
      </c>
      <c r="B107" s="71" t="s">
        <v>205</v>
      </c>
      <c r="C107" s="286"/>
      <c r="D107" s="286"/>
      <c r="E107" s="286"/>
      <c r="F107" s="72">
        <f>937.5+23547.5</f>
        <v>24485</v>
      </c>
      <c r="G107" s="267">
        <f>50000/7.5345</f>
        <v>6636.1404207313026</v>
      </c>
      <c r="H107" s="267">
        <v>8000</v>
      </c>
      <c r="I107" s="267">
        <f>8000-1000</f>
        <v>7000</v>
      </c>
      <c r="J107" s="267"/>
      <c r="K107" s="267">
        <v>6151.35</v>
      </c>
      <c r="L107" s="33" t="s">
        <v>770</v>
      </c>
      <c r="M107" s="33">
        <f>200*12</f>
        <v>2400</v>
      </c>
      <c r="N107" s="33" t="s">
        <v>771</v>
      </c>
      <c r="O107" s="33">
        <f>625</f>
        <v>625</v>
      </c>
      <c r="P107" s="33" t="s">
        <v>772</v>
      </c>
      <c r="Q107" s="33">
        <v>2500</v>
      </c>
      <c r="R107" s="33" t="s">
        <v>773</v>
      </c>
      <c r="S107" s="33">
        <v>400</v>
      </c>
      <c r="T107" t="s">
        <v>774</v>
      </c>
    </row>
    <row r="108" spans="1:20" x14ac:dyDescent="0.25">
      <c r="A108" s="286">
        <v>3234</v>
      </c>
      <c r="B108" s="286" t="s">
        <v>206</v>
      </c>
      <c r="C108" s="286"/>
      <c r="D108" s="286"/>
      <c r="E108" s="286"/>
      <c r="F108" s="40">
        <v>1340.9</v>
      </c>
      <c r="G108" s="267">
        <f>2500/7.5345</f>
        <v>331.80702103656512</v>
      </c>
      <c r="H108" s="267">
        <v>600</v>
      </c>
      <c r="I108" s="267">
        <v>600</v>
      </c>
      <c r="J108" s="267"/>
      <c r="K108" s="267">
        <v>271.67</v>
      </c>
      <c r="L108" s="33" t="s">
        <v>338</v>
      </c>
    </row>
    <row r="109" spans="1:20" x14ac:dyDescent="0.25">
      <c r="A109" s="286">
        <v>3235</v>
      </c>
      <c r="B109" s="286" t="s">
        <v>207</v>
      </c>
      <c r="C109" s="286"/>
      <c r="D109" s="286"/>
      <c r="E109" s="286"/>
      <c r="F109" s="40">
        <v>3337.96</v>
      </c>
      <c r="G109" s="267">
        <f>7000/7.5345</f>
        <v>929.05965890238235</v>
      </c>
      <c r="H109" s="267">
        <v>5600</v>
      </c>
      <c r="I109" s="267">
        <f>100*12</f>
        <v>1200</v>
      </c>
      <c r="J109" s="267"/>
      <c r="K109" s="267">
        <f>360+2802.55</f>
        <v>3162.55</v>
      </c>
      <c r="L109" s="33" t="s">
        <v>769</v>
      </c>
      <c r="M109" s="33">
        <f>100*12</f>
        <v>1200</v>
      </c>
    </row>
    <row r="110" spans="1:20" x14ac:dyDescent="0.25">
      <c r="A110" s="286">
        <v>3237</v>
      </c>
      <c r="B110" s="286" t="s">
        <v>208</v>
      </c>
      <c r="C110" s="286"/>
      <c r="D110" s="286"/>
      <c r="E110" s="286"/>
      <c r="F110" s="40">
        <v>40904.32</v>
      </c>
      <c r="G110" s="267">
        <f>15000/7.5345</f>
        <v>1990.8421262193906</v>
      </c>
      <c r="H110" s="267">
        <v>2000</v>
      </c>
      <c r="I110" s="267">
        <v>2000</v>
      </c>
      <c r="J110" s="267"/>
      <c r="K110" s="267">
        <v>2075.37</v>
      </c>
    </row>
    <row r="111" spans="1:20" x14ac:dyDescent="0.25">
      <c r="A111" s="286">
        <v>3237</v>
      </c>
      <c r="B111" s="71" t="s">
        <v>340</v>
      </c>
      <c r="C111" s="286"/>
      <c r="D111" s="286"/>
      <c r="E111" s="286"/>
      <c r="F111" s="40"/>
      <c r="G111" s="267">
        <f>12000/7.5345</f>
        <v>1592.6737009755125</v>
      </c>
      <c r="H111" s="267">
        <v>1600</v>
      </c>
      <c r="I111" s="267">
        <v>1000</v>
      </c>
      <c r="J111" s="267"/>
      <c r="K111" s="267"/>
    </row>
    <row r="112" spans="1:20" x14ac:dyDescent="0.25">
      <c r="A112" s="286">
        <v>3237</v>
      </c>
      <c r="B112" s="286" t="s">
        <v>799</v>
      </c>
      <c r="C112" s="286"/>
      <c r="D112" s="286"/>
      <c r="E112" s="286"/>
      <c r="F112" s="40"/>
      <c r="G112" s="267">
        <f>50000/7.5345</f>
        <v>6636.1404207313026</v>
      </c>
      <c r="H112" s="267">
        <f>2000-1000</f>
        <v>1000</v>
      </c>
      <c r="I112" s="267">
        <v>1000</v>
      </c>
      <c r="J112" s="267"/>
      <c r="K112" s="267">
        <v>1812.5</v>
      </c>
    </row>
    <row r="113" spans="1:22" x14ac:dyDescent="0.25">
      <c r="A113" s="286">
        <v>3237</v>
      </c>
      <c r="B113" s="555" t="s">
        <v>209</v>
      </c>
      <c r="C113" s="604"/>
      <c r="D113" s="604"/>
      <c r="E113" s="604"/>
      <c r="F113" s="40"/>
      <c r="G113" s="267">
        <f>23000/7.5345</f>
        <v>3052.6245935363991</v>
      </c>
      <c r="H113" s="267">
        <f>250*12</f>
        <v>3000</v>
      </c>
      <c r="I113" s="267">
        <v>3000</v>
      </c>
      <c r="J113" s="267"/>
      <c r="K113" s="267">
        <v>2239.65</v>
      </c>
      <c r="L113" s="33">
        <f>250*12</f>
        <v>3000</v>
      </c>
    </row>
    <row r="114" spans="1:22" x14ac:dyDescent="0.25">
      <c r="A114" s="286"/>
      <c r="B114" s="281" t="s">
        <v>833</v>
      </c>
      <c r="C114" s="317"/>
      <c r="D114" s="317"/>
      <c r="E114" s="317"/>
      <c r="F114" s="40"/>
      <c r="G114" s="267"/>
      <c r="H114" s="267"/>
      <c r="I114" s="267">
        <v>7000</v>
      </c>
      <c r="J114" s="267"/>
      <c r="K114" s="267"/>
    </row>
    <row r="115" spans="1:22" x14ac:dyDescent="0.25">
      <c r="A115" s="286">
        <v>3237</v>
      </c>
      <c r="B115" s="286" t="s">
        <v>210</v>
      </c>
      <c r="C115" s="286"/>
      <c r="D115" s="286"/>
      <c r="E115" s="286"/>
      <c r="F115" s="40"/>
      <c r="G115" s="267">
        <f>40000/7.5345</f>
        <v>5308.9123365850419</v>
      </c>
      <c r="H115" s="267">
        <f>5000-2000</f>
        <v>3000</v>
      </c>
      <c r="I115" s="267">
        <v>2000</v>
      </c>
      <c r="J115" s="267"/>
      <c r="K115" s="267">
        <v>593.75</v>
      </c>
    </row>
    <row r="116" spans="1:22" x14ac:dyDescent="0.25">
      <c r="A116" s="286">
        <v>3237</v>
      </c>
      <c r="B116" s="286" t="s">
        <v>211</v>
      </c>
      <c r="C116" s="286"/>
      <c r="D116" s="286"/>
      <c r="E116" s="286"/>
      <c r="F116" s="40">
        <v>1875</v>
      </c>
      <c r="G116" s="267">
        <f>15000/7.5345</f>
        <v>1990.8421262193906</v>
      </c>
      <c r="H116" s="267">
        <v>2000</v>
      </c>
      <c r="I116" s="267">
        <v>2000</v>
      </c>
      <c r="J116" s="267"/>
      <c r="K116" s="267"/>
    </row>
    <row r="117" spans="1:22" x14ac:dyDescent="0.25">
      <c r="A117" s="286">
        <v>3238</v>
      </c>
      <c r="B117" s="286" t="s">
        <v>212</v>
      </c>
      <c r="C117" s="286"/>
      <c r="D117" s="286"/>
      <c r="E117" s="286"/>
      <c r="F117" s="72">
        <v>2234.39</v>
      </c>
      <c r="G117" s="267">
        <f>40000/7.5345</f>
        <v>5308.9123365850419</v>
      </c>
      <c r="H117" s="267">
        <v>6000</v>
      </c>
      <c r="I117" s="267">
        <v>8000</v>
      </c>
      <c r="J117" s="267"/>
      <c r="K117" s="267">
        <v>8761.86</v>
      </c>
      <c r="L117" s="33" t="s">
        <v>760</v>
      </c>
      <c r="M117" s="33">
        <f>27*12</f>
        <v>324</v>
      </c>
      <c r="N117" s="33" t="s">
        <v>761</v>
      </c>
      <c r="O117" s="33">
        <f>100*12</f>
        <v>1200</v>
      </c>
      <c r="P117" s="33" t="s">
        <v>762</v>
      </c>
      <c r="Q117" s="33">
        <f>180*12</f>
        <v>2160</v>
      </c>
      <c r="R117" s="33" t="s">
        <v>763</v>
      </c>
      <c r="S117" s="33">
        <f>282*12</f>
        <v>3384</v>
      </c>
      <c r="T117" t="s">
        <v>764</v>
      </c>
      <c r="U117">
        <f>170*12</f>
        <v>2040</v>
      </c>
      <c r="V117" t="s">
        <v>765</v>
      </c>
    </row>
    <row r="118" spans="1:22" x14ac:dyDescent="0.25">
      <c r="A118" s="286">
        <v>3239</v>
      </c>
      <c r="B118" s="286" t="s">
        <v>213</v>
      </c>
      <c r="C118" s="286"/>
      <c r="D118" s="286"/>
      <c r="E118" s="286"/>
      <c r="F118" s="40">
        <v>7272</v>
      </c>
      <c r="G118" s="267">
        <f>6000/7.5345</f>
        <v>796.33685048775624</v>
      </c>
      <c r="H118" s="267">
        <v>800</v>
      </c>
      <c r="I118" s="267">
        <v>800</v>
      </c>
      <c r="J118" s="267"/>
      <c r="K118" s="267">
        <v>233.63</v>
      </c>
    </row>
    <row r="119" spans="1:22" x14ac:dyDescent="0.25">
      <c r="A119" s="71">
        <v>3239</v>
      </c>
      <c r="B119" s="71" t="s">
        <v>214</v>
      </c>
      <c r="C119" s="71"/>
      <c r="D119" s="71"/>
      <c r="E119" s="71"/>
      <c r="F119" s="40">
        <v>7000</v>
      </c>
      <c r="G119" s="267">
        <f>7000/7.5345</f>
        <v>929.05965890238235</v>
      </c>
      <c r="H119" s="267">
        <f>470*2</f>
        <v>940</v>
      </c>
      <c r="I119" s="267">
        <v>700</v>
      </c>
      <c r="J119" s="267"/>
      <c r="K119" s="267">
        <v>697.5</v>
      </c>
      <c r="L119" s="33">
        <f>350*2</f>
        <v>700</v>
      </c>
    </row>
    <row r="120" spans="1:22" x14ac:dyDescent="0.25">
      <c r="A120" s="286">
        <v>3238</v>
      </c>
      <c r="B120" s="71" t="s">
        <v>215</v>
      </c>
      <c r="C120" s="286"/>
      <c r="D120" s="286"/>
      <c r="E120" s="286"/>
      <c r="F120" s="72">
        <v>981.46</v>
      </c>
      <c r="G120" s="267">
        <f>1500/7.5345</f>
        <v>199.08421262193906</v>
      </c>
      <c r="H120" s="267">
        <f>20*12</f>
        <v>240</v>
      </c>
      <c r="I120" s="267">
        <v>324</v>
      </c>
      <c r="J120" s="267"/>
      <c r="K120" s="267">
        <v>219.15</v>
      </c>
      <c r="L120" s="33">
        <f>27*12</f>
        <v>324</v>
      </c>
    </row>
    <row r="121" spans="1:22" x14ac:dyDescent="0.25">
      <c r="A121" s="286">
        <v>3239</v>
      </c>
      <c r="B121" s="71" t="s">
        <v>216</v>
      </c>
      <c r="C121" s="286"/>
      <c r="D121" s="286"/>
      <c r="E121" s="286"/>
      <c r="F121" s="72"/>
      <c r="G121" s="267">
        <f>2000/7.5345</f>
        <v>265.44561682925212</v>
      </c>
      <c r="H121" s="267">
        <v>300</v>
      </c>
      <c r="I121" s="267">
        <v>300</v>
      </c>
      <c r="J121" s="267"/>
      <c r="K121" s="267"/>
    </row>
    <row r="122" spans="1:22" x14ac:dyDescent="0.25">
      <c r="A122" s="286">
        <v>3239</v>
      </c>
      <c r="B122" s="553" t="s">
        <v>217</v>
      </c>
      <c r="C122" s="553"/>
      <c r="D122" s="553"/>
      <c r="E122" s="553"/>
      <c r="F122" s="268"/>
      <c r="G122" s="267">
        <f>16000/7.5345</f>
        <v>2123.5649346340169</v>
      </c>
      <c r="H122" s="267">
        <v>2000</v>
      </c>
      <c r="I122" s="267">
        <v>500</v>
      </c>
      <c r="J122" s="267"/>
      <c r="K122" s="267"/>
    </row>
    <row r="123" spans="1:22" x14ac:dyDescent="0.25">
      <c r="A123" s="286">
        <v>3239</v>
      </c>
      <c r="B123" s="71" t="s">
        <v>218</v>
      </c>
      <c r="C123" s="286"/>
      <c r="D123" s="286"/>
      <c r="E123" s="286"/>
      <c r="F123" s="40">
        <v>9165.8700000000008</v>
      </c>
      <c r="G123" s="267">
        <f>10000/7.5345</f>
        <v>1327.2280841462605</v>
      </c>
      <c r="H123" s="267">
        <v>2800</v>
      </c>
      <c r="I123" s="267">
        <v>3600</v>
      </c>
      <c r="J123" s="267"/>
      <c r="K123" s="267">
        <v>2161.87</v>
      </c>
      <c r="L123" s="33" t="s">
        <v>824</v>
      </c>
    </row>
    <row r="124" spans="1:22" x14ac:dyDescent="0.25">
      <c r="A124" s="286">
        <v>3234</v>
      </c>
      <c r="B124" s="553" t="s">
        <v>219</v>
      </c>
      <c r="C124" s="553"/>
      <c r="D124" s="553"/>
      <c r="E124" s="553"/>
      <c r="F124" s="40"/>
      <c r="G124" s="267">
        <f>10000/7.5345</f>
        <v>1327.2280841462605</v>
      </c>
      <c r="H124" s="267">
        <f>150*12</f>
        <v>1800</v>
      </c>
      <c r="I124" s="267">
        <v>2040</v>
      </c>
      <c r="J124" s="267"/>
      <c r="K124" s="267">
        <v>1435.81</v>
      </c>
      <c r="L124" s="33">
        <f>170*12</f>
        <v>2040</v>
      </c>
    </row>
    <row r="125" spans="1:22" x14ac:dyDescent="0.25">
      <c r="A125" s="286">
        <v>3239</v>
      </c>
      <c r="B125" s="553" t="s">
        <v>220</v>
      </c>
      <c r="C125" s="553"/>
      <c r="D125" s="553"/>
      <c r="E125" s="553"/>
      <c r="F125" s="72">
        <v>2850</v>
      </c>
      <c r="G125" s="267">
        <f>20000/7.5345</f>
        <v>2654.4561682925209</v>
      </c>
      <c r="H125" s="267">
        <f>3000-1000-1000</f>
        <v>1000</v>
      </c>
      <c r="I125" s="267">
        <v>1000</v>
      </c>
      <c r="J125" s="267"/>
      <c r="K125" s="267">
        <v>60</v>
      </c>
    </row>
    <row r="126" spans="1:22" x14ac:dyDescent="0.25">
      <c r="A126" s="166">
        <v>329</v>
      </c>
      <c r="B126" s="166" t="s">
        <v>175</v>
      </c>
      <c r="C126" s="166"/>
      <c r="D126" s="166"/>
      <c r="E126" s="166"/>
      <c r="F126" s="79">
        <f>SUM(F127:F130)</f>
        <v>39208.74</v>
      </c>
      <c r="G126" s="79">
        <f>SUM(G127:G130)</f>
        <v>8892.428163779945</v>
      </c>
      <c r="H126" s="79">
        <f>H128+H127+H130+H131</f>
        <v>8532</v>
      </c>
      <c r="I126" s="79">
        <f>I127+I128+I129+I130+I131+I132</f>
        <v>20032</v>
      </c>
      <c r="J126" s="79"/>
      <c r="K126" s="79"/>
    </row>
    <row r="127" spans="1:22" x14ac:dyDescent="0.25">
      <c r="A127" s="71">
        <v>3292</v>
      </c>
      <c r="B127" s="71" t="s">
        <v>480</v>
      </c>
      <c r="C127" s="71"/>
      <c r="D127" s="71"/>
      <c r="E127" s="71"/>
      <c r="F127" s="72">
        <v>7648.05</v>
      </c>
      <c r="G127" s="72">
        <f>20000/7.5345</f>
        <v>2654.4561682925209</v>
      </c>
      <c r="H127" s="72">
        <f>700+2000</f>
        <v>2700</v>
      </c>
      <c r="I127" s="72">
        <f>2700+1500</f>
        <v>4200</v>
      </c>
      <c r="J127" s="72"/>
      <c r="K127" s="72">
        <f>508.36+1211.57</f>
        <v>1719.9299999999998</v>
      </c>
      <c r="L127" s="33" t="s">
        <v>493</v>
      </c>
      <c r="M127" s="33" t="s">
        <v>494</v>
      </c>
      <c r="P127" s="33" t="s">
        <v>800</v>
      </c>
    </row>
    <row r="128" spans="1:22" x14ac:dyDescent="0.25">
      <c r="A128" s="286">
        <v>3293</v>
      </c>
      <c r="B128" s="286" t="s">
        <v>221</v>
      </c>
      <c r="C128" s="286"/>
      <c r="D128" s="286"/>
      <c r="E128" s="286"/>
      <c r="F128" s="40">
        <f>139.62+173.68</f>
        <v>313.3</v>
      </c>
      <c r="G128" s="72">
        <f>5000/7.5345</f>
        <v>663.61404207313024</v>
      </c>
      <c r="H128" s="72">
        <v>700</v>
      </c>
      <c r="I128" s="72">
        <v>700</v>
      </c>
      <c r="J128" s="72"/>
      <c r="K128" s="72">
        <v>96.88</v>
      </c>
    </row>
    <row r="129" spans="1:17" x14ac:dyDescent="0.25">
      <c r="A129" s="286">
        <v>3293</v>
      </c>
      <c r="B129" s="286" t="s">
        <v>734</v>
      </c>
      <c r="C129" s="286"/>
      <c r="D129" s="286"/>
      <c r="E129" s="286"/>
      <c r="F129" s="40"/>
      <c r="G129" s="72"/>
      <c r="H129" s="72"/>
      <c r="I129" s="72">
        <v>2000</v>
      </c>
      <c r="J129" s="72"/>
      <c r="K129" s="72"/>
    </row>
    <row r="130" spans="1:17" x14ac:dyDescent="0.25">
      <c r="A130" s="286">
        <v>3294</v>
      </c>
      <c r="B130" s="71" t="s">
        <v>222</v>
      </c>
      <c r="C130" s="286"/>
      <c r="D130" s="286"/>
      <c r="E130" s="286"/>
      <c r="F130" s="40">
        <v>31247.39</v>
      </c>
      <c r="G130" s="72">
        <f>42000/7.5345</f>
        <v>5574.3579534142937</v>
      </c>
      <c r="H130" s="72">
        <v>5000</v>
      </c>
      <c r="I130" s="72">
        <v>12000</v>
      </c>
      <c r="J130" s="72"/>
      <c r="K130" s="72">
        <v>4705.07</v>
      </c>
      <c r="L130" s="33" t="s">
        <v>757</v>
      </c>
      <c r="M130" s="33">
        <f>250*4</f>
        <v>1000</v>
      </c>
      <c r="N130" s="33" t="s">
        <v>758</v>
      </c>
      <c r="O130" s="33">
        <f>800*12</f>
        <v>9600</v>
      </c>
      <c r="P130" s="33" t="s">
        <v>759</v>
      </c>
      <c r="Q130" s="33">
        <f>4*120</f>
        <v>480</v>
      </c>
    </row>
    <row r="131" spans="1:17" x14ac:dyDescent="0.25">
      <c r="A131" s="286">
        <v>3295</v>
      </c>
      <c r="B131" s="71" t="s">
        <v>481</v>
      </c>
      <c r="C131" s="286"/>
      <c r="D131" s="286"/>
      <c r="E131" s="286"/>
      <c r="F131" s="40"/>
      <c r="G131" s="72"/>
      <c r="H131" s="72">
        <f>11*12</f>
        <v>132</v>
      </c>
      <c r="I131" s="72">
        <v>132</v>
      </c>
      <c r="J131" s="72"/>
      <c r="K131" s="72">
        <v>106.2</v>
      </c>
      <c r="L131" s="33">
        <f>11*12</f>
        <v>132</v>
      </c>
    </row>
    <row r="132" spans="1:17" x14ac:dyDescent="0.25">
      <c r="A132" s="286">
        <v>3295</v>
      </c>
      <c r="B132" s="286" t="s">
        <v>224</v>
      </c>
      <c r="C132" s="286"/>
      <c r="D132" s="286"/>
      <c r="E132" s="286"/>
      <c r="F132" s="72">
        <f>870.2+2491.5+1103</f>
        <v>4464.7</v>
      </c>
      <c r="G132" s="72">
        <f>10000/7.5345</f>
        <v>1327.2280841462605</v>
      </c>
      <c r="H132" s="72">
        <v>1000</v>
      </c>
      <c r="I132" s="72">
        <v>1000</v>
      </c>
      <c r="J132" s="72"/>
      <c r="K132" s="72">
        <v>103.9</v>
      </c>
    </row>
    <row r="133" spans="1:17" x14ac:dyDescent="0.25">
      <c r="A133" s="166">
        <v>34</v>
      </c>
      <c r="B133" s="166" t="s">
        <v>159</v>
      </c>
      <c r="C133" s="166"/>
      <c r="D133" s="166"/>
      <c r="E133" s="166"/>
      <c r="F133" s="79" t="e">
        <f>#REF!</f>
        <v>#REF!</v>
      </c>
      <c r="G133" s="79">
        <f>G134</f>
        <v>2521.7333598778951</v>
      </c>
      <c r="H133" s="79">
        <f>H134</f>
        <v>3200</v>
      </c>
      <c r="I133" s="79">
        <f>I134</f>
        <v>3432</v>
      </c>
      <c r="J133" s="79"/>
      <c r="K133" s="79"/>
    </row>
    <row r="134" spans="1:17" x14ac:dyDescent="0.25">
      <c r="A134" s="166">
        <v>343</v>
      </c>
      <c r="B134" s="166" t="s">
        <v>160</v>
      </c>
      <c r="C134" s="166"/>
      <c r="D134" s="166"/>
      <c r="E134" s="166"/>
      <c r="F134" s="79">
        <f>SUM(F135:F137)</f>
        <v>17743.21</v>
      </c>
      <c r="G134" s="79">
        <f>SUM(G135:G137)</f>
        <v>2521.7333598778951</v>
      </c>
      <c r="H134" s="79">
        <f>H135+H137</f>
        <v>3200</v>
      </c>
      <c r="I134" s="79">
        <f>I135+I136+I137</f>
        <v>3432</v>
      </c>
      <c r="J134" s="79"/>
      <c r="K134" s="79"/>
    </row>
    <row r="135" spans="1:17" x14ac:dyDescent="0.25">
      <c r="A135" s="286">
        <v>3431</v>
      </c>
      <c r="B135" s="286" t="s">
        <v>225</v>
      </c>
      <c r="C135" s="286"/>
      <c r="D135" s="286"/>
      <c r="E135" s="286"/>
      <c r="F135" s="72">
        <f>11684.65+6039.4</f>
        <v>17724.05</v>
      </c>
      <c r="G135" s="72">
        <f>14000/7.5345</f>
        <v>1858.1193178047647</v>
      </c>
      <c r="H135" s="72">
        <v>2500</v>
      </c>
      <c r="I135" s="72">
        <f>102+2280</f>
        <v>2382</v>
      </c>
      <c r="J135" s="72"/>
      <c r="K135" s="72">
        <f>1351.11+187.5</f>
        <v>1538.61</v>
      </c>
      <c r="L135" s="33" t="s">
        <v>755</v>
      </c>
      <c r="M135" s="33">
        <f>8.5*12</f>
        <v>102</v>
      </c>
      <c r="N135" s="33" t="s">
        <v>756</v>
      </c>
      <c r="O135" s="33">
        <f>12*190</f>
        <v>2280</v>
      </c>
    </row>
    <row r="136" spans="1:17" x14ac:dyDescent="0.25">
      <c r="A136" s="286">
        <v>3433</v>
      </c>
      <c r="B136" s="286" t="s">
        <v>735</v>
      </c>
      <c r="C136" s="286"/>
      <c r="D136" s="286"/>
      <c r="E136" s="286"/>
      <c r="F136" s="72"/>
      <c r="G136" s="72"/>
      <c r="H136" s="72"/>
      <c r="I136" s="72">
        <v>50</v>
      </c>
      <c r="J136" s="72"/>
      <c r="K136" s="72">
        <v>0.11</v>
      </c>
    </row>
    <row r="137" spans="1:17" x14ac:dyDescent="0.25">
      <c r="A137" s="286">
        <v>3434</v>
      </c>
      <c r="B137" s="553" t="s">
        <v>226</v>
      </c>
      <c r="C137" s="584"/>
      <c r="D137" s="584"/>
      <c r="E137" s="584"/>
      <c r="F137" s="40">
        <v>19.16</v>
      </c>
      <c r="G137" s="72">
        <f>5000/7.5345</f>
        <v>663.61404207313024</v>
      </c>
      <c r="H137" s="72">
        <v>700</v>
      </c>
      <c r="I137" s="72">
        <v>1000</v>
      </c>
      <c r="J137" s="72"/>
      <c r="K137" s="72">
        <f>213.34+440.37</f>
        <v>653.71</v>
      </c>
      <c r="L137" s="33" t="s">
        <v>754</v>
      </c>
    </row>
    <row r="138" spans="1:17" x14ac:dyDescent="0.25">
      <c r="A138" s="286"/>
      <c r="B138" s="280"/>
      <c r="C138" s="291"/>
      <c r="D138" s="291"/>
      <c r="E138" s="291"/>
      <c r="F138" s="40"/>
      <c r="G138" s="72"/>
      <c r="H138" s="72"/>
      <c r="I138" s="72"/>
      <c r="J138" s="72"/>
      <c r="K138" s="72"/>
    </row>
    <row r="139" spans="1:17" x14ac:dyDescent="0.25">
      <c r="A139" s="602" t="s">
        <v>372</v>
      </c>
      <c r="B139" s="602"/>
      <c r="C139" s="602"/>
      <c r="D139" s="602"/>
      <c r="E139" s="602"/>
      <c r="F139" s="72"/>
      <c r="G139" s="72"/>
      <c r="H139" s="72"/>
      <c r="I139" s="72"/>
      <c r="J139" s="72"/>
      <c r="K139" s="72"/>
    </row>
    <row r="140" spans="1:17" x14ac:dyDescent="0.25">
      <c r="A140" s="96" t="s">
        <v>71</v>
      </c>
      <c r="B140" s="99"/>
      <c r="C140" s="99"/>
      <c r="D140" s="99"/>
      <c r="E140" s="99"/>
      <c r="F140" s="93">
        <f t="shared" ref="F140:G140" si="11">F142</f>
        <v>0</v>
      </c>
      <c r="G140" s="93">
        <f t="shared" si="11"/>
        <v>39816.842524387816</v>
      </c>
      <c r="H140" s="93">
        <f>H142</f>
        <v>20000</v>
      </c>
      <c r="I140" s="93">
        <f>I142</f>
        <v>15000</v>
      </c>
      <c r="J140" s="93"/>
      <c r="K140" s="94">
        <f>K145</f>
        <v>2625</v>
      </c>
    </row>
    <row r="141" spans="1:17" x14ac:dyDescent="0.25">
      <c r="A141" s="286"/>
      <c r="B141" s="286"/>
      <c r="C141" s="286"/>
      <c r="D141" s="286"/>
      <c r="E141" s="286"/>
      <c r="F141" s="40"/>
      <c r="G141" s="40"/>
      <c r="H141" s="40"/>
      <c r="I141" s="40"/>
      <c r="J141" s="40"/>
      <c r="K141" s="40"/>
    </row>
    <row r="142" spans="1:17" x14ac:dyDescent="0.25">
      <c r="A142" s="166">
        <v>4</v>
      </c>
      <c r="B142" s="166" t="s">
        <v>5</v>
      </c>
      <c r="C142" s="166"/>
      <c r="D142" s="166"/>
      <c r="E142" s="166"/>
      <c r="F142" s="79">
        <f t="shared" ref="F142:G144" si="12">F143</f>
        <v>0</v>
      </c>
      <c r="G142" s="79">
        <f t="shared" si="12"/>
        <v>39816.842524387816</v>
      </c>
      <c r="H142" s="79">
        <f t="shared" ref="H142:I144" si="13">H143</f>
        <v>20000</v>
      </c>
      <c r="I142" s="79">
        <f t="shared" si="13"/>
        <v>15000</v>
      </c>
      <c r="J142" s="79"/>
      <c r="K142" s="79"/>
    </row>
    <row r="143" spans="1:17" x14ac:dyDescent="0.25">
      <c r="A143" s="166">
        <v>42</v>
      </c>
      <c r="B143" s="588" t="s">
        <v>230</v>
      </c>
      <c r="C143" s="588"/>
      <c r="D143" s="588"/>
      <c r="E143" s="588"/>
      <c r="F143" s="79">
        <f t="shared" si="12"/>
        <v>0</v>
      </c>
      <c r="G143" s="79">
        <f t="shared" si="12"/>
        <v>39816.842524387816</v>
      </c>
      <c r="H143" s="79">
        <f t="shared" si="13"/>
        <v>20000</v>
      </c>
      <c r="I143" s="79">
        <f t="shared" si="13"/>
        <v>15000</v>
      </c>
      <c r="J143" s="79"/>
      <c r="K143" s="79"/>
    </row>
    <row r="144" spans="1:17" x14ac:dyDescent="0.25">
      <c r="A144" s="166">
        <v>426</v>
      </c>
      <c r="B144" s="166" t="s">
        <v>169</v>
      </c>
      <c r="C144" s="166"/>
      <c r="D144" s="166"/>
      <c r="E144" s="166"/>
      <c r="F144" s="79">
        <f t="shared" si="12"/>
        <v>0</v>
      </c>
      <c r="G144" s="79">
        <f t="shared" si="12"/>
        <v>39816.842524387816</v>
      </c>
      <c r="H144" s="79">
        <f t="shared" si="13"/>
        <v>20000</v>
      </c>
      <c r="I144" s="79">
        <f t="shared" si="13"/>
        <v>15000</v>
      </c>
      <c r="J144" s="79"/>
      <c r="K144" s="79"/>
    </row>
    <row r="145" spans="1:11" x14ac:dyDescent="0.25">
      <c r="A145" s="286">
        <v>4263</v>
      </c>
      <c r="B145" s="71" t="s">
        <v>231</v>
      </c>
      <c r="C145" s="286"/>
      <c r="D145" s="286"/>
      <c r="E145" s="286"/>
      <c r="F145" s="40"/>
      <c r="G145" s="40">
        <f>300000/7.5345</f>
        <v>39816.842524387816</v>
      </c>
      <c r="H145" s="40">
        <f>30000-10000</f>
        <v>20000</v>
      </c>
      <c r="I145" s="40">
        <v>15000</v>
      </c>
      <c r="J145" s="40"/>
      <c r="K145" s="40">
        <v>2625</v>
      </c>
    </row>
    <row r="146" spans="1:11" x14ac:dyDescent="0.25">
      <c r="A146" s="286"/>
      <c r="B146" s="71"/>
      <c r="C146" s="286"/>
      <c r="D146" s="286"/>
      <c r="E146" s="286"/>
      <c r="F146" s="40"/>
      <c r="G146" s="40"/>
      <c r="H146" s="40"/>
      <c r="I146" s="40"/>
      <c r="J146" s="40"/>
      <c r="K146" s="40"/>
    </row>
    <row r="147" spans="1:11" x14ac:dyDescent="0.25">
      <c r="A147" s="602" t="s">
        <v>372</v>
      </c>
      <c r="B147" s="602"/>
      <c r="C147" s="602"/>
      <c r="D147" s="602"/>
      <c r="E147" s="602"/>
      <c r="F147" s="72"/>
      <c r="G147" s="72"/>
      <c r="H147" s="72"/>
      <c r="I147" s="72"/>
      <c r="J147" s="72"/>
      <c r="K147" s="72"/>
    </row>
    <row r="148" spans="1:11" x14ac:dyDescent="0.25">
      <c r="A148" s="574" t="s">
        <v>547</v>
      </c>
      <c r="B148" s="574"/>
      <c r="C148" s="574"/>
      <c r="D148" s="574"/>
      <c r="E148" s="574"/>
      <c r="F148" s="93">
        <f t="shared" ref="F148:G148" si="14">F150</f>
        <v>0</v>
      </c>
      <c r="G148" s="93">
        <f t="shared" si="14"/>
        <v>39816.842524387816</v>
      </c>
      <c r="H148" s="93">
        <f>H150</f>
        <v>20000</v>
      </c>
      <c r="I148" s="93">
        <f>I150</f>
        <v>14000</v>
      </c>
      <c r="J148" s="93"/>
      <c r="K148" s="94"/>
    </row>
    <row r="149" spans="1:11" x14ac:dyDescent="0.25">
      <c r="A149" s="286"/>
      <c r="B149" s="286"/>
      <c r="C149" s="286"/>
      <c r="D149" s="286"/>
      <c r="E149" s="286"/>
      <c r="F149" s="40"/>
      <c r="G149" s="40"/>
      <c r="H149" s="40"/>
      <c r="I149" s="40"/>
      <c r="J149" s="40"/>
      <c r="K149" s="40"/>
    </row>
    <row r="150" spans="1:11" x14ac:dyDescent="0.25">
      <c r="A150" s="166">
        <v>3</v>
      </c>
      <c r="B150" s="166" t="s">
        <v>18</v>
      </c>
      <c r="C150" s="166"/>
      <c r="D150" s="166"/>
      <c r="E150" s="166"/>
      <c r="F150" s="79">
        <f t="shared" ref="F150:G152" si="15">F151</f>
        <v>0</v>
      </c>
      <c r="G150" s="79">
        <f t="shared" si="15"/>
        <v>39816.842524387816</v>
      </c>
      <c r="H150" s="79">
        <f t="shared" ref="H150:I152" si="16">H151</f>
        <v>20000</v>
      </c>
      <c r="I150" s="79">
        <f t="shared" si="16"/>
        <v>14000</v>
      </c>
      <c r="J150" s="79"/>
      <c r="K150" s="79"/>
    </row>
    <row r="151" spans="1:11" x14ac:dyDescent="0.25">
      <c r="A151" s="166">
        <v>32</v>
      </c>
      <c r="B151" s="588" t="s">
        <v>529</v>
      </c>
      <c r="C151" s="588"/>
      <c r="D151" s="588"/>
      <c r="E151" s="588"/>
      <c r="F151" s="79">
        <f t="shared" si="15"/>
        <v>0</v>
      </c>
      <c r="G151" s="79">
        <f t="shared" si="15"/>
        <v>39816.842524387816</v>
      </c>
      <c r="H151" s="79">
        <f t="shared" si="16"/>
        <v>20000</v>
      </c>
      <c r="I151" s="79">
        <f t="shared" si="16"/>
        <v>14000</v>
      </c>
      <c r="J151" s="79"/>
      <c r="K151" s="79"/>
    </row>
    <row r="152" spans="1:11" x14ac:dyDescent="0.25">
      <c r="A152" s="166">
        <v>323</v>
      </c>
      <c r="B152" s="166" t="s">
        <v>158</v>
      </c>
      <c r="C152" s="166"/>
      <c r="D152" s="166"/>
      <c r="E152" s="166"/>
      <c r="F152" s="79">
        <f t="shared" si="15"/>
        <v>0</v>
      </c>
      <c r="G152" s="79">
        <f t="shared" si="15"/>
        <v>39816.842524387816</v>
      </c>
      <c r="H152" s="79">
        <f t="shared" si="16"/>
        <v>20000</v>
      </c>
      <c r="I152" s="79">
        <f t="shared" si="16"/>
        <v>14000</v>
      </c>
      <c r="J152" s="79"/>
      <c r="K152" s="79"/>
    </row>
    <row r="153" spans="1:11" x14ac:dyDescent="0.25">
      <c r="A153" s="286">
        <v>3232</v>
      </c>
      <c r="B153" s="71" t="s">
        <v>530</v>
      </c>
      <c r="C153" s="286"/>
      <c r="D153" s="286"/>
      <c r="E153" s="286"/>
      <c r="F153" s="40"/>
      <c r="G153" s="40">
        <f>300000/7.5345</f>
        <v>39816.842524387816</v>
      </c>
      <c r="H153" s="40">
        <v>20000</v>
      </c>
      <c r="I153" s="40">
        <v>14000</v>
      </c>
      <c r="J153" s="40"/>
      <c r="K153" s="40"/>
    </row>
    <row r="154" spans="1:11" x14ac:dyDescent="0.25">
      <c r="A154" s="286"/>
      <c r="B154" s="71"/>
      <c r="C154" s="286"/>
      <c r="D154" s="286"/>
      <c r="E154" s="286"/>
      <c r="F154" s="40"/>
      <c r="G154" s="40"/>
      <c r="H154" s="40"/>
      <c r="I154" s="40"/>
      <c r="J154" s="40"/>
      <c r="K154" s="40"/>
    </row>
    <row r="155" spans="1:11" x14ac:dyDescent="0.25">
      <c r="A155" s="602" t="s">
        <v>372</v>
      </c>
      <c r="B155" s="602"/>
      <c r="C155" s="602"/>
      <c r="D155" s="602"/>
      <c r="E155" s="602"/>
      <c r="F155" s="40"/>
      <c r="G155" s="40"/>
      <c r="H155" s="40"/>
      <c r="I155" s="40"/>
      <c r="J155" s="40"/>
      <c r="K155" s="40"/>
    </row>
    <row r="156" spans="1:11" x14ac:dyDescent="0.25">
      <c r="A156" s="100" t="s">
        <v>72</v>
      </c>
      <c r="B156" s="100"/>
      <c r="C156" s="100"/>
      <c r="D156" s="100"/>
      <c r="E156" s="100"/>
      <c r="F156" s="94">
        <f t="shared" ref="F156:G156" si="17">F158</f>
        <v>6601.25</v>
      </c>
      <c r="G156" s="94">
        <f t="shared" si="17"/>
        <v>10617.81616829252</v>
      </c>
      <c r="H156" s="94">
        <f>H158</f>
        <v>14500</v>
      </c>
      <c r="I156" s="94">
        <f>I158</f>
        <v>5500</v>
      </c>
      <c r="J156" s="94"/>
      <c r="K156" s="94">
        <f>SUM(K158:K164)</f>
        <v>8917.5400000000009</v>
      </c>
    </row>
    <row r="157" spans="1:11" x14ac:dyDescent="0.25">
      <c r="A157" s="166"/>
      <c r="B157" s="166"/>
      <c r="C157" s="166"/>
      <c r="D157" s="166"/>
      <c r="E157" s="166"/>
      <c r="F157" s="79"/>
      <c r="G157" s="79"/>
      <c r="H157" s="79"/>
      <c r="I157" s="79"/>
      <c r="J157" s="79"/>
      <c r="K157" s="79"/>
    </row>
    <row r="158" spans="1:11" x14ac:dyDescent="0.25">
      <c r="A158" s="166">
        <v>4</v>
      </c>
      <c r="B158" s="166" t="s">
        <v>5</v>
      </c>
      <c r="C158" s="166"/>
      <c r="D158" s="166"/>
      <c r="E158" s="166"/>
      <c r="F158" s="79">
        <f>F159</f>
        <v>6601.25</v>
      </c>
      <c r="G158" s="79">
        <f t="shared" ref="G158" si="18">G159</f>
        <v>10617.81616829252</v>
      </c>
      <c r="H158" s="79">
        <f>H159</f>
        <v>14500</v>
      </c>
      <c r="I158" s="79">
        <f>I159</f>
        <v>5500</v>
      </c>
      <c r="J158" s="79"/>
      <c r="K158" s="79"/>
    </row>
    <row r="159" spans="1:11" x14ac:dyDescent="0.25">
      <c r="A159" s="166">
        <v>42</v>
      </c>
      <c r="B159" s="588" t="s">
        <v>230</v>
      </c>
      <c r="C159" s="588"/>
      <c r="D159" s="588"/>
      <c r="E159" s="588"/>
      <c r="F159" s="79">
        <f>F160+F163</f>
        <v>6601.25</v>
      </c>
      <c r="G159" s="79">
        <f>G160+G163</f>
        <v>10617.81616829252</v>
      </c>
      <c r="H159" s="79">
        <f>H160+H163</f>
        <v>14500</v>
      </c>
      <c r="I159" s="79">
        <f>I160+I163</f>
        <v>5500</v>
      </c>
      <c r="J159" s="79"/>
      <c r="K159" s="79"/>
    </row>
    <row r="160" spans="1:11" x14ac:dyDescent="0.25">
      <c r="A160" s="166">
        <v>422</v>
      </c>
      <c r="B160" s="166" t="s">
        <v>168</v>
      </c>
      <c r="C160" s="166"/>
      <c r="D160" s="166"/>
      <c r="E160" s="166"/>
      <c r="F160" s="79">
        <f t="shared" ref="F160:G160" si="19">F161</f>
        <v>4641.25</v>
      </c>
      <c r="G160" s="79">
        <f t="shared" si="19"/>
        <v>2654.4561682925209</v>
      </c>
      <c r="H160" s="79">
        <f>H161+H162</f>
        <v>6000</v>
      </c>
      <c r="I160" s="79">
        <f>I161+I162</f>
        <v>4500</v>
      </c>
      <c r="J160" s="79"/>
      <c r="K160" s="79"/>
    </row>
    <row r="161" spans="1:14" x14ac:dyDescent="0.25">
      <c r="A161" s="286">
        <v>4221</v>
      </c>
      <c r="B161" s="71" t="s">
        <v>232</v>
      </c>
      <c r="C161" s="286"/>
      <c r="D161" s="286"/>
      <c r="E161" s="75"/>
      <c r="F161" s="40">
        <f>3453.75+1187.5</f>
        <v>4641.25</v>
      </c>
      <c r="G161" s="40">
        <f>20000/7.5345</f>
        <v>2654.4561682925209</v>
      </c>
      <c r="H161" s="40">
        <v>3000</v>
      </c>
      <c r="I161" s="40">
        <f>4000-1500</f>
        <v>2500</v>
      </c>
      <c r="J161" s="40"/>
      <c r="K161" s="40">
        <f>111.5+638.75+2193.75</f>
        <v>2944</v>
      </c>
      <c r="L161" s="33" t="s">
        <v>835</v>
      </c>
    </row>
    <row r="162" spans="1:14" x14ac:dyDescent="0.25">
      <c r="A162" s="286">
        <v>4227</v>
      </c>
      <c r="B162" s="71" t="s">
        <v>513</v>
      </c>
      <c r="C162" s="286"/>
      <c r="D162" s="286"/>
      <c r="E162" s="71"/>
      <c r="F162" s="40"/>
      <c r="G162" s="40"/>
      <c r="H162" s="40">
        <v>3000</v>
      </c>
      <c r="I162" s="40">
        <v>2000</v>
      </c>
      <c r="J162" s="40"/>
      <c r="K162" s="40">
        <f>243+1789.91</f>
        <v>2032.91</v>
      </c>
    </row>
    <row r="163" spans="1:14" x14ac:dyDescent="0.25">
      <c r="A163" s="166">
        <v>426</v>
      </c>
      <c r="B163" s="166" t="s">
        <v>169</v>
      </c>
      <c r="C163" s="166"/>
      <c r="D163" s="166"/>
      <c r="E163" s="166"/>
      <c r="F163" s="79">
        <f>F164</f>
        <v>1960</v>
      </c>
      <c r="G163" s="79">
        <f>G164</f>
        <v>7963.36</v>
      </c>
      <c r="H163" s="79">
        <f>H164</f>
        <v>8500</v>
      </c>
      <c r="I163" s="79">
        <f>I164</f>
        <v>1000</v>
      </c>
      <c r="J163" s="79"/>
      <c r="K163" s="79"/>
      <c r="L163" s="33">
        <v>1000</v>
      </c>
      <c r="M163" s="33">
        <v>1000</v>
      </c>
      <c r="N163" s="33">
        <v>6500</v>
      </c>
    </row>
    <row r="164" spans="1:14" x14ac:dyDescent="0.25">
      <c r="A164" s="286">
        <v>4262</v>
      </c>
      <c r="B164" s="71" t="s">
        <v>233</v>
      </c>
      <c r="C164" s="286"/>
      <c r="D164" s="286"/>
      <c r="E164" s="286"/>
      <c r="F164" s="40">
        <v>1960</v>
      </c>
      <c r="G164" s="40">
        <v>7963.36</v>
      </c>
      <c r="H164" s="40">
        <f>1000+1000+6500</f>
        <v>8500</v>
      </c>
      <c r="I164" s="40">
        <v>1000</v>
      </c>
      <c r="J164" s="40"/>
      <c r="K164" s="40">
        <v>3940.63</v>
      </c>
      <c r="L164" s="33" t="s">
        <v>753</v>
      </c>
    </row>
    <row r="165" spans="1:14" x14ac:dyDescent="0.25">
      <c r="A165" s="286"/>
      <c r="B165" s="71"/>
      <c r="C165" s="286"/>
      <c r="D165" s="286"/>
      <c r="E165" s="286"/>
      <c r="F165" s="40"/>
      <c r="G165" s="40"/>
      <c r="H165" s="40"/>
      <c r="I165" s="40"/>
      <c r="J165" s="40"/>
      <c r="K165" s="40"/>
    </row>
    <row r="166" spans="1:14" x14ac:dyDescent="0.25">
      <c r="A166" s="81" t="s">
        <v>401</v>
      </c>
      <c r="B166" s="156"/>
      <c r="C166" s="156"/>
      <c r="D166" s="156"/>
      <c r="E166" s="156"/>
      <c r="F166" s="157"/>
      <c r="G166" s="158"/>
      <c r="H166" s="82">
        <f>H168</f>
        <v>20000</v>
      </c>
      <c r="I166" s="82">
        <f>I168</f>
        <v>20000</v>
      </c>
      <c r="J166" s="82"/>
      <c r="K166" s="79"/>
    </row>
    <row r="167" spans="1:14" ht="15" customHeight="1" x14ac:dyDescent="0.25">
      <c r="A167" s="292" t="s">
        <v>430</v>
      </c>
      <c r="B167" s="293"/>
      <c r="C167" s="293"/>
      <c r="D167" s="293"/>
      <c r="E167" s="159"/>
      <c r="F167" s="159"/>
      <c r="G167" s="159"/>
      <c r="H167" s="159"/>
      <c r="I167" s="159"/>
      <c r="J167" s="159"/>
      <c r="K167" s="272"/>
      <c r="L167" s="264"/>
    </row>
    <row r="168" spans="1:14" x14ac:dyDescent="0.25">
      <c r="A168" s="574" t="s">
        <v>227</v>
      </c>
      <c r="B168" s="574"/>
      <c r="C168" s="574"/>
      <c r="D168" s="574"/>
      <c r="E168" s="574"/>
      <c r="F168" s="94">
        <f>F171</f>
        <v>0</v>
      </c>
      <c r="G168" s="94">
        <f>G171</f>
        <v>26544.56168292521</v>
      </c>
      <c r="H168" s="94">
        <f>H170</f>
        <v>20000</v>
      </c>
      <c r="I168" s="94">
        <f>I170</f>
        <v>20000</v>
      </c>
      <c r="J168" s="94"/>
      <c r="K168" s="94"/>
    </row>
    <row r="169" spans="1:14" x14ac:dyDescent="0.25">
      <c r="A169" s="294"/>
      <c r="B169" s="294"/>
      <c r="C169" s="294"/>
      <c r="D169" s="294"/>
      <c r="E169" s="294"/>
      <c r="F169" s="72"/>
      <c r="G169" s="72"/>
      <c r="H169" s="72"/>
      <c r="I169" s="72"/>
      <c r="J169" s="72"/>
      <c r="K169" s="72"/>
    </row>
    <row r="170" spans="1:14" x14ac:dyDescent="0.25">
      <c r="A170" s="241">
        <v>3</v>
      </c>
      <c r="B170" s="287" t="s">
        <v>181</v>
      </c>
      <c r="C170" s="294"/>
      <c r="D170" s="294"/>
      <c r="E170" s="294"/>
      <c r="F170" s="72"/>
      <c r="G170" s="79">
        <f>G171</f>
        <v>26544.56168292521</v>
      </c>
      <c r="H170" s="79">
        <f>H171</f>
        <v>20000</v>
      </c>
      <c r="I170" s="79">
        <f>I171</f>
        <v>20000</v>
      </c>
      <c r="J170" s="79"/>
      <c r="K170" s="79"/>
    </row>
    <row r="171" spans="1:14" x14ac:dyDescent="0.25">
      <c r="A171" s="166">
        <v>36</v>
      </c>
      <c r="B171" s="588" t="s">
        <v>228</v>
      </c>
      <c r="C171" s="588"/>
      <c r="D171" s="588"/>
      <c r="E171" s="588"/>
      <c r="F171" s="79">
        <f>F173</f>
        <v>0</v>
      </c>
      <c r="G171" s="79">
        <f>G173</f>
        <v>26544.56168292521</v>
      </c>
      <c r="H171" s="79">
        <f>H172</f>
        <v>20000</v>
      </c>
      <c r="I171" s="79">
        <f>I172</f>
        <v>20000</v>
      </c>
      <c r="J171" s="79"/>
      <c r="K171" s="79"/>
    </row>
    <row r="172" spans="1:14" x14ac:dyDescent="0.25">
      <c r="A172" s="166">
        <v>363</v>
      </c>
      <c r="B172" s="588" t="s">
        <v>162</v>
      </c>
      <c r="C172" s="588"/>
      <c r="D172" s="588"/>
      <c r="E172" s="588"/>
      <c r="F172" s="79"/>
      <c r="G172" s="79">
        <f>G173</f>
        <v>26544.56168292521</v>
      </c>
      <c r="H172" s="79">
        <f>H173</f>
        <v>20000</v>
      </c>
      <c r="I172" s="79">
        <f>I173</f>
        <v>20000</v>
      </c>
      <c r="J172" s="79"/>
      <c r="K172" s="79"/>
    </row>
    <row r="173" spans="1:14" x14ac:dyDescent="0.25">
      <c r="A173" s="71">
        <v>3631</v>
      </c>
      <c r="B173" s="555" t="s">
        <v>229</v>
      </c>
      <c r="C173" s="555"/>
      <c r="D173" s="555"/>
      <c r="E173" s="555"/>
      <c r="F173" s="72"/>
      <c r="G173" s="72">
        <f>200000/7.5345</f>
        <v>26544.56168292521</v>
      </c>
      <c r="H173" s="72">
        <v>20000</v>
      </c>
      <c r="I173" s="72">
        <v>20000</v>
      </c>
      <c r="J173" s="72"/>
      <c r="K173" s="72"/>
    </row>
    <row r="174" spans="1:14" x14ac:dyDescent="0.25">
      <c r="A174" s="286"/>
      <c r="B174" s="286"/>
      <c r="C174" s="286"/>
      <c r="D174" s="286"/>
      <c r="E174" s="286"/>
      <c r="F174" s="40"/>
      <c r="G174" s="40"/>
      <c r="H174" s="40"/>
      <c r="I174" s="40"/>
      <c r="J174" s="40"/>
      <c r="K174" s="40"/>
    </row>
    <row r="175" spans="1:14" x14ac:dyDescent="0.25">
      <c r="A175" s="41" t="s">
        <v>73</v>
      </c>
      <c r="B175" s="41"/>
      <c r="C175" s="41"/>
      <c r="D175" s="41"/>
      <c r="E175" s="41"/>
      <c r="F175" s="82" t="e">
        <f>#REF!</f>
        <v>#REF!</v>
      </c>
      <c r="G175" s="82">
        <f>G177</f>
        <v>9834.7601035237894</v>
      </c>
      <c r="H175" s="82">
        <f>H177</f>
        <v>11990</v>
      </c>
      <c r="I175" s="82">
        <f>I177</f>
        <v>6901</v>
      </c>
      <c r="J175" s="82"/>
      <c r="K175" s="79"/>
    </row>
    <row r="176" spans="1:14" ht="15" customHeight="1" x14ac:dyDescent="0.25">
      <c r="A176" s="292" t="s">
        <v>432</v>
      </c>
      <c r="B176" s="293"/>
      <c r="C176" s="293"/>
      <c r="D176" s="293"/>
      <c r="E176" s="159"/>
      <c r="F176" s="159"/>
      <c r="G176" s="159"/>
      <c r="H176" s="159"/>
      <c r="I176" s="159"/>
      <c r="J176" s="159"/>
      <c r="K176" s="272"/>
      <c r="L176" s="264"/>
    </row>
    <row r="177" spans="1:12" x14ac:dyDescent="0.25">
      <c r="A177" s="572" t="s">
        <v>74</v>
      </c>
      <c r="B177" s="572"/>
      <c r="C177" s="572"/>
      <c r="D177" s="572"/>
      <c r="E177" s="572"/>
      <c r="F177" s="289"/>
      <c r="G177" s="93">
        <f>G179</f>
        <v>9834.7601035237894</v>
      </c>
      <c r="H177" s="93">
        <f>H179</f>
        <v>11990</v>
      </c>
      <c r="I177" s="93">
        <f>I179</f>
        <v>6901</v>
      </c>
      <c r="J177" s="93"/>
      <c r="K177" s="94">
        <f>K182+K187+K184</f>
        <v>4993</v>
      </c>
    </row>
    <row r="178" spans="1:12" x14ac:dyDescent="0.25">
      <c r="A178" s="286"/>
      <c r="B178" s="286"/>
      <c r="C178" s="286"/>
      <c r="D178" s="286"/>
      <c r="E178" s="286"/>
      <c r="F178" s="40"/>
      <c r="G178" s="267"/>
      <c r="H178" s="267"/>
      <c r="I178" s="267"/>
      <c r="J178" s="267"/>
      <c r="K178" s="267"/>
    </row>
    <row r="179" spans="1:12" x14ac:dyDescent="0.25">
      <c r="A179" s="166">
        <v>3</v>
      </c>
      <c r="B179" s="166" t="s">
        <v>181</v>
      </c>
      <c r="C179" s="166"/>
      <c r="D179" s="166"/>
      <c r="E179" s="166"/>
      <c r="F179" s="79"/>
      <c r="G179" s="79">
        <f>G180</f>
        <v>9834.7601035237894</v>
      </c>
      <c r="H179" s="79">
        <f>H180+H185</f>
        <v>11990</v>
      </c>
      <c r="I179" s="79">
        <f>I180+I185</f>
        <v>6901</v>
      </c>
      <c r="J179" s="79"/>
      <c r="K179" s="79"/>
    </row>
    <row r="180" spans="1:12" x14ac:dyDescent="0.25">
      <c r="A180" s="166">
        <v>31</v>
      </c>
      <c r="B180" s="166" t="s">
        <v>234</v>
      </c>
      <c r="C180" s="166"/>
      <c r="D180" s="166"/>
      <c r="E180" s="166"/>
      <c r="F180" s="79">
        <f>F181+F183</f>
        <v>31920.68</v>
      </c>
      <c r="G180" s="79">
        <f>G181+G183</f>
        <v>9834.7601035237894</v>
      </c>
      <c r="H180" s="79">
        <f>H181+H183</f>
        <v>11750</v>
      </c>
      <c r="I180" s="79">
        <f>I181+I183</f>
        <v>6781</v>
      </c>
      <c r="J180" s="79"/>
      <c r="K180" s="79"/>
      <c r="L180" s="33" t="s">
        <v>720</v>
      </c>
    </row>
    <row r="181" spans="1:12" x14ac:dyDescent="0.25">
      <c r="A181" s="166">
        <v>311</v>
      </c>
      <c r="B181" s="166" t="s">
        <v>191</v>
      </c>
      <c r="C181" s="166"/>
      <c r="D181" s="166"/>
      <c r="E181" s="166"/>
      <c r="F181" s="79">
        <f>SUM(F182:F182)</f>
        <v>26462.74</v>
      </c>
      <c r="G181" s="79">
        <f>SUM(G182:G182)</f>
        <v>8441.1706151702165</v>
      </c>
      <c r="H181" s="79">
        <f>H182</f>
        <v>10080</v>
      </c>
      <c r="I181" s="79">
        <f>I182</f>
        <v>5820</v>
      </c>
      <c r="J181" s="79"/>
      <c r="K181" s="79"/>
    </row>
    <row r="182" spans="1:12" x14ac:dyDescent="0.25">
      <c r="A182" s="286">
        <v>3111</v>
      </c>
      <c r="B182" s="71" t="s">
        <v>235</v>
      </c>
      <c r="C182" s="286"/>
      <c r="D182" s="286"/>
      <c r="E182" s="286"/>
      <c r="F182" s="268">
        <v>26462.74</v>
      </c>
      <c r="G182" s="268">
        <f>63600/7.5345</f>
        <v>8441.1706151702165</v>
      </c>
      <c r="H182" s="268">
        <f>840*12</f>
        <v>10080</v>
      </c>
      <c r="I182" s="268">
        <v>5820</v>
      </c>
      <c r="J182" s="268"/>
      <c r="K182" s="72">
        <f>3386+146.5+667.5</f>
        <v>4200</v>
      </c>
      <c r="L182" s="33">
        <f>970*6</f>
        <v>5820</v>
      </c>
    </row>
    <row r="183" spans="1:12" x14ac:dyDescent="0.25">
      <c r="A183" s="166">
        <v>313</v>
      </c>
      <c r="B183" s="166" t="s">
        <v>154</v>
      </c>
      <c r="C183" s="166"/>
      <c r="D183" s="166"/>
      <c r="E183" s="166"/>
      <c r="F183" s="269">
        <f>SUM(F184:F184)</f>
        <v>5457.94</v>
      </c>
      <c r="G183" s="269">
        <f>SUM(G184:G184)</f>
        <v>1393.5894883535734</v>
      </c>
      <c r="H183" s="269">
        <f>H184</f>
        <v>1670</v>
      </c>
      <c r="I183" s="269">
        <f>I184</f>
        <v>961</v>
      </c>
      <c r="J183" s="269"/>
      <c r="K183" s="79"/>
    </row>
    <row r="184" spans="1:12" x14ac:dyDescent="0.25">
      <c r="A184" s="286">
        <v>3132</v>
      </c>
      <c r="B184" s="286" t="s">
        <v>173</v>
      </c>
      <c r="C184" s="286"/>
      <c r="D184" s="286"/>
      <c r="E184" s="286"/>
      <c r="F184" s="295">
        <v>5457.94</v>
      </c>
      <c r="G184" s="270">
        <f>10500/7.5345</f>
        <v>1393.5894883535734</v>
      </c>
      <c r="H184" s="270">
        <v>1670</v>
      </c>
      <c r="I184" s="270">
        <v>961</v>
      </c>
      <c r="J184" s="270"/>
      <c r="K184" s="267">
        <v>693</v>
      </c>
      <c r="L184" s="33">
        <f>L182*16.5/100</f>
        <v>960.3</v>
      </c>
    </row>
    <row r="185" spans="1:12" x14ac:dyDescent="0.25">
      <c r="A185" s="296">
        <v>32</v>
      </c>
      <c r="B185" s="166" t="s">
        <v>155</v>
      </c>
      <c r="C185" s="286"/>
      <c r="D185" s="286"/>
      <c r="E185" s="286"/>
      <c r="F185" s="295"/>
      <c r="G185" s="270"/>
      <c r="H185" s="271">
        <f>H186</f>
        <v>240</v>
      </c>
      <c r="I185" s="271">
        <f>I186</f>
        <v>120</v>
      </c>
      <c r="J185" s="271"/>
      <c r="K185" s="297"/>
    </row>
    <row r="186" spans="1:12" x14ac:dyDescent="0.25">
      <c r="A186" s="296">
        <v>321</v>
      </c>
      <c r="B186" s="166" t="s">
        <v>156</v>
      </c>
      <c r="C186" s="286"/>
      <c r="D186" s="286"/>
      <c r="E186" s="286"/>
      <c r="F186" s="295"/>
      <c r="G186" s="270"/>
      <c r="H186" s="271">
        <f>H187</f>
        <v>240</v>
      </c>
      <c r="I186" s="271">
        <f>I187</f>
        <v>120</v>
      </c>
      <c r="J186" s="271"/>
      <c r="K186" s="297"/>
    </row>
    <row r="187" spans="1:12" x14ac:dyDescent="0.25">
      <c r="A187" s="286">
        <v>3212</v>
      </c>
      <c r="B187" s="71" t="s">
        <v>460</v>
      </c>
      <c r="C187" s="286"/>
      <c r="D187" s="286"/>
      <c r="E187" s="286"/>
      <c r="F187" s="40"/>
      <c r="G187" s="40"/>
      <c r="H187" s="40">
        <f>20*12</f>
        <v>240</v>
      </c>
      <c r="I187" s="40">
        <v>120</v>
      </c>
      <c r="J187" s="40"/>
      <c r="K187" s="40">
        <v>100</v>
      </c>
      <c r="L187" s="33">
        <f>20*6</f>
        <v>120</v>
      </c>
    </row>
    <row r="188" spans="1:12" x14ac:dyDescent="0.25">
      <c r="A188" s="286"/>
      <c r="B188" s="71"/>
      <c r="C188" s="286"/>
      <c r="D188" s="286"/>
      <c r="E188" s="286"/>
      <c r="F188" s="40"/>
      <c r="G188" s="40"/>
      <c r="H188" s="40"/>
      <c r="I188" s="40"/>
      <c r="J188" s="40"/>
      <c r="K188" s="40"/>
    </row>
    <row r="189" spans="1:12" x14ac:dyDescent="0.25">
      <c r="A189" s="89" t="s">
        <v>236</v>
      </c>
      <c r="B189" s="89"/>
      <c r="C189" s="89"/>
      <c r="D189" s="89"/>
      <c r="E189" s="89"/>
      <c r="F189" s="101">
        <f>F190+F203</f>
        <v>25694.739999999998</v>
      </c>
      <c r="G189" s="101">
        <f>G190+G203</f>
        <v>27739.059556705819</v>
      </c>
      <c r="H189" s="101">
        <f>H190+H203</f>
        <v>28192</v>
      </c>
      <c r="I189" s="101">
        <f>I190+I203</f>
        <v>24192</v>
      </c>
      <c r="J189" s="101"/>
      <c r="K189" s="272"/>
    </row>
    <row r="190" spans="1:12" x14ac:dyDescent="0.25">
      <c r="A190" s="81" t="s">
        <v>76</v>
      </c>
      <c r="B190" s="81"/>
      <c r="C190" s="81"/>
      <c r="D190" s="81"/>
      <c r="E190" s="81"/>
      <c r="F190" s="82">
        <f t="shared" ref="F190" si="20">F193</f>
        <v>25694.739999999998</v>
      </c>
      <c r="G190" s="82">
        <f>G192</f>
        <v>22430.147220120776</v>
      </c>
      <c r="H190" s="82">
        <f>H193</f>
        <v>23192</v>
      </c>
      <c r="I190" s="82">
        <f>I193</f>
        <v>19192</v>
      </c>
      <c r="J190" s="82"/>
      <c r="K190" s="79"/>
    </row>
    <row r="191" spans="1:12" x14ac:dyDescent="0.25">
      <c r="A191" s="95" t="s">
        <v>373</v>
      </c>
      <c r="B191" s="95"/>
      <c r="C191" s="95"/>
      <c r="D191" s="95"/>
      <c r="E191" s="95"/>
      <c r="F191" s="98"/>
      <c r="G191" s="98"/>
      <c r="H191" s="98"/>
      <c r="I191" s="98"/>
      <c r="J191" s="98"/>
      <c r="K191" s="72"/>
    </row>
    <row r="192" spans="1:12" x14ac:dyDescent="0.25">
      <c r="A192" s="96" t="s">
        <v>109</v>
      </c>
      <c r="B192" s="96"/>
      <c r="C192" s="96"/>
      <c r="D192" s="96"/>
      <c r="E192" s="96"/>
      <c r="F192" s="289"/>
      <c r="G192" s="587">
        <f>G195</f>
        <v>22430.147220120776</v>
      </c>
      <c r="H192" s="155"/>
      <c r="I192" s="155"/>
      <c r="J192" s="155"/>
      <c r="K192" s="235"/>
    </row>
    <row r="193" spans="1:14" x14ac:dyDescent="0.25">
      <c r="A193" s="590" t="s">
        <v>77</v>
      </c>
      <c r="B193" s="590"/>
      <c r="C193" s="590"/>
      <c r="D193" s="590"/>
      <c r="E193" s="590"/>
      <c r="F193" s="93">
        <f t="shared" ref="F193" si="21">F195</f>
        <v>25694.739999999998</v>
      </c>
      <c r="G193" s="587"/>
      <c r="H193" s="155">
        <f>H195</f>
        <v>23192</v>
      </c>
      <c r="I193" s="155">
        <f>I195</f>
        <v>19192</v>
      </c>
      <c r="J193" s="155"/>
      <c r="K193" s="102">
        <f>K198+K201</f>
        <v>6502.74</v>
      </c>
    </row>
    <row r="194" spans="1:14" x14ac:dyDescent="0.25">
      <c r="A194" s="285"/>
      <c r="B194" s="285"/>
      <c r="C194" s="285"/>
      <c r="D194" s="285"/>
      <c r="E194" s="285"/>
      <c r="F194" s="40"/>
      <c r="G194" s="40"/>
      <c r="H194" s="40"/>
      <c r="I194" s="40"/>
      <c r="J194" s="40"/>
      <c r="K194" s="40"/>
    </row>
    <row r="195" spans="1:14" x14ac:dyDescent="0.25">
      <c r="A195" s="166">
        <v>3</v>
      </c>
      <c r="B195" s="166" t="s">
        <v>18</v>
      </c>
      <c r="C195" s="166"/>
      <c r="D195" s="166"/>
      <c r="E195" s="166"/>
      <c r="F195" s="79">
        <f>F196+F200</f>
        <v>25694.739999999998</v>
      </c>
      <c r="G195" s="79">
        <f>G196+G200</f>
        <v>22430.147220120776</v>
      </c>
      <c r="H195" s="79">
        <f>H199+H197</f>
        <v>23192</v>
      </c>
      <c r="I195" s="79">
        <f>I196+I199</f>
        <v>19192</v>
      </c>
      <c r="J195" s="79"/>
      <c r="K195" s="79"/>
    </row>
    <row r="196" spans="1:14" x14ac:dyDescent="0.25">
      <c r="A196" s="166">
        <v>35</v>
      </c>
      <c r="B196" s="166" t="s">
        <v>161</v>
      </c>
      <c r="C196" s="166"/>
      <c r="D196" s="166"/>
      <c r="E196" s="166"/>
      <c r="F196" s="79">
        <f t="shared" ref="F196:G196" si="22">F197</f>
        <v>5694.74</v>
      </c>
      <c r="G196" s="79">
        <f t="shared" si="22"/>
        <v>19244.807220120776</v>
      </c>
      <c r="H196" s="79">
        <f>H197</f>
        <v>20000</v>
      </c>
      <c r="I196" s="79">
        <f>I197</f>
        <v>16000</v>
      </c>
      <c r="J196" s="79"/>
      <c r="K196" s="79"/>
    </row>
    <row r="197" spans="1:14" x14ac:dyDescent="0.25">
      <c r="A197" s="166">
        <v>352</v>
      </c>
      <c r="B197" s="166" t="s">
        <v>237</v>
      </c>
      <c r="C197" s="166"/>
      <c r="D197" s="166"/>
      <c r="E197" s="166"/>
      <c r="F197" s="79">
        <f>SUM(F198:F198)</f>
        <v>5694.74</v>
      </c>
      <c r="G197" s="79">
        <f>SUM(G198:G198)</f>
        <v>19244.807220120776</v>
      </c>
      <c r="H197" s="79">
        <f>H198</f>
        <v>20000</v>
      </c>
      <c r="I197" s="79">
        <f>I198</f>
        <v>16000</v>
      </c>
      <c r="J197" s="79"/>
      <c r="K197" s="79"/>
    </row>
    <row r="198" spans="1:14" x14ac:dyDescent="0.25">
      <c r="A198" s="286">
        <v>3523</v>
      </c>
      <c r="B198" s="286" t="s">
        <v>238</v>
      </c>
      <c r="C198" s="286"/>
      <c r="D198" s="286"/>
      <c r="E198" s="286"/>
      <c r="F198" s="72">
        <f>894.74+4800</f>
        <v>5694.74</v>
      </c>
      <c r="G198" s="72">
        <f>145000/7.5345</f>
        <v>19244.807220120776</v>
      </c>
      <c r="H198" s="72">
        <v>20000</v>
      </c>
      <c r="I198" s="72">
        <v>16000</v>
      </c>
      <c r="J198" s="72"/>
      <c r="K198" s="72">
        <f>153.24+3395+300</f>
        <v>3848.24</v>
      </c>
      <c r="L198" s="33" t="s">
        <v>497</v>
      </c>
      <c r="M198" s="33" t="s">
        <v>496</v>
      </c>
      <c r="N198" s="33" t="s">
        <v>495</v>
      </c>
    </row>
    <row r="199" spans="1:14" x14ac:dyDescent="0.25">
      <c r="A199" s="166">
        <v>36</v>
      </c>
      <c r="B199" s="166" t="s">
        <v>239</v>
      </c>
      <c r="C199" s="166"/>
      <c r="D199" s="166"/>
      <c r="E199" s="166"/>
      <c r="F199" s="79">
        <f t="shared" ref="F199:G200" si="23">F200</f>
        <v>20000</v>
      </c>
      <c r="G199" s="79">
        <f t="shared" si="23"/>
        <v>3185.34</v>
      </c>
      <c r="H199" s="79">
        <f>H200</f>
        <v>3192</v>
      </c>
      <c r="I199" s="79">
        <f>I200</f>
        <v>3192</v>
      </c>
      <c r="J199" s="79"/>
      <c r="K199" s="79"/>
    </row>
    <row r="200" spans="1:14" x14ac:dyDescent="0.25">
      <c r="A200" s="166">
        <v>363</v>
      </c>
      <c r="B200" s="166" t="s">
        <v>239</v>
      </c>
      <c r="C200" s="166"/>
      <c r="D200" s="166"/>
      <c r="E200" s="166"/>
      <c r="F200" s="79">
        <f t="shared" si="23"/>
        <v>20000</v>
      </c>
      <c r="G200" s="79">
        <f t="shared" si="23"/>
        <v>3185.34</v>
      </c>
      <c r="H200" s="79">
        <f>H201</f>
        <v>3192</v>
      </c>
      <c r="I200" s="79">
        <f>I201</f>
        <v>3192</v>
      </c>
      <c r="J200" s="79"/>
      <c r="K200" s="79"/>
    </row>
    <row r="201" spans="1:14" x14ac:dyDescent="0.25">
      <c r="A201" s="286">
        <v>3631</v>
      </c>
      <c r="B201" s="71" t="s">
        <v>240</v>
      </c>
      <c r="C201" s="286"/>
      <c r="D201" s="286"/>
      <c r="E201" s="286"/>
      <c r="F201" s="72">
        <v>20000</v>
      </c>
      <c r="G201" s="72">
        <v>3185.34</v>
      </c>
      <c r="H201" s="72">
        <f>266*12</f>
        <v>3192</v>
      </c>
      <c r="I201" s="72">
        <f>266*12</f>
        <v>3192</v>
      </c>
      <c r="J201" s="72"/>
      <c r="K201" s="72">
        <v>2654.5</v>
      </c>
      <c r="L201" s="33" t="s">
        <v>479</v>
      </c>
    </row>
    <row r="202" spans="1:14" x14ac:dyDescent="0.25">
      <c r="A202" s="286"/>
      <c r="B202" s="71"/>
      <c r="C202" s="286"/>
      <c r="D202" s="286"/>
      <c r="E202" s="286"/>
      <c r="F202" s="72"/>
      <c r="G202" s="72"/>
      <c r="H202" s="72"/>
      <c r="I202" s="72"/>
      <c r="J202" s="72"/>
      <c r="K202" s="72"/>
    </row>
    <row r="203" spans="1:14" x14ac:dyDescent="0.25">
      <c r="A203" s="81" t="s">
        <v>78</v>
      </c>
      <c r="B203" s="81"/>
      <c r="C203" s="81"/>
      <c r="D203" s="81"/>
      <c r="E203" s="81"/>
      <c r="F203" s="82">
        <f t="shared" ref="F203" si="24">F205</f>
        <v>0</v>
      </c>
      <c r="G203" s="82">
        <f>G205</f>
        <v>5308.9123365850419</v>
      </c>
      <c r="H203" s="82">
        <f>H205</f>
        <v>5000</v>
      </c>
      <c r="I203" s="82">
        <f>I205</f>
        <v>5000</v>
      </c>
      <c r="J203" s="82"/>
      <c r="K203" s="79"/>
    </row>
    <row r="204" spans="1:14" x14ac:dyDescent="0.25">
      <c r="A204" s="95" t="s">
        <v>374</v>
      </c>
      <c r="B204" s="95"/>
      <c r="C204" s="95"/>
      <c r="D204" s="95"/>
      <c r="E204" s="95"/>
      <c r="F204" s="98"/>
      <c r="G204" s="98"/>
      <c r="H204" s="98"/>
      <c r="I204" s="98"/>
      <c r="J204" s="98"/>
      <c r="K204" s="72"/>
    </row>
    <row r="205" spans="1:14" x14ac:dyDescent="0.25">
      <c r="A205" s="96" t="s">
        <v>110</v>
      </c>
      <c r="B205" s="96"/>
      <c r="C205" s="96"/>
      <c r="D205" s="96"/>
      <c r="E205" s="96"/>
      <c r="F205" s="93">
        <f t="shared" ref="F205:G205" si="25">F207</f>
        <v>0</v>
      </c>
      <c r="G205" s="93">
        <f t="shared" si="25"/>
        <v>5308.9123365850419</v>
      </c>
      <c r="H205" s="93">
        <f>H207</f>
        <v>5000</v>
      </c>
      <c r="I205" s="93">
        <f>I207</f>
        <v>5000</v>
      </c>
      <c r="J205" s="93"/>
      <c r="K205" s="94"/>
    </row>
    <row r="206" spans="1:14" x14ac:dyDescent="0.25">
      <c r="A206" s="71"/>
      <c r="B206" s="71"/>
      <c r="C206" s="286"/>
      <c r="D206" s="286"/>
      <c r="E206" s="286"/>
      <c r="F206" s="72"/>
      <c r="G206" s="72"/>
      <c r="H206" s="72"/>
      <c r="I206" s="72"/>
      <c r="J206" s="72"/>
      <c r="K206" s="72"/>
    </row>
    <row r="207" spans="1:14" x14ac:dyDescent="0.25">
      <c r="A207" s="166">
        <v>3</v>
      </c>
      <c r="B207" s="166" t="s">
        <v>18</v>
      </c>
      <c r="C207" s="166"/>
      <c r="D207" s="166"/>
      <c r="E207" s="166"/>
      <c r="F207" s="79">
        <f t="shared" ref="F207:G209" si="26">F208</f>
        <v>0</v>
      </c>
      <c r="G207" s="79">
        <f t="shared" si="26"/>
        <v>5308.9123365850419</v>
      </c>
      <c r="H207" s="79">
        <f t="shared" ref="H207:I209" si="27">H208</f>
        <v>5000</v>
      </c>
      <c r="I207" s="79">
        <f t="shared" si="27"/>
        <v>5000</v>
      </c>
      <c r="J207" s="79"/>
      <c r="K207" s="79"/>
    </row>
    <row r="208" spans="1:14" x14ac:dyDescent="0.25">
      <c r="A208" s="166">
        <v>35</v>
      </c>
      <c r="B208" s="166" t="s">
        <v>161</v>
      </c>
      <c r="C208" s="166"/>
      <c r="D208" s="166"/>
      <c r="E208" s="166"/>
      <c r="F208" s="79">
        <f t="shared" si="26"/>
        <v>0</v>
      </c>
      <c r="G208" s="79">
        <f t="shared" si="26"/>
        <v>5308.9123365850419</v>
      </c>
      <c r="H208" s="79">
        <f t="shared" si="27"/>
        <v>5000</v>
      </c>
      <c r="I208" s="79">
        <f t="shared" si="27"/>
        <v>5000</v>
      </c>
      <c r="J208" s="79"/>
      <c r="K208" s="79"/>
    </row>
    <row r="209" spans="1:16" x14ac:dyDescent="0.25">
      <c r="A209" s="166">
        <v>352</v>
      </c>
      <c r="B209" s="166" t="s">
        <v>241</v>
      </c>
      <c r="C209" s="166"/>
      <c r="D209" s="166"/>
      <c r="E209" s="166"/>
      <c r="F209" s="79">
        <f t="shared" si="26"/>
        <v>0</v>
      </c>
      <c r="G209" s="79">
        <f t="shared" si="26"/>
        <v>5308.9123365850419</v>
      </c>
      <c r="H209" s="79">
        <f t="shared" si="27"/>
        <v>5000</v>
      </c>
      <c r="I209" s="79">
        <f t="shared" si="27"/>
        <v>5000</v>
      </c>
      <c r="J209" s="79"/>
      <c r="K209" s="79"/>
    </row>
    <row r="210" spans="1:16" x14ac:dyDescent="0.25">
      <c r="A210" s="286">
        <v>3523</v>
      </c>
      <c r="B210" s="71" t="s">
        <v>383</v>
      </c>
      <c r="C210" s="286"/>
      <c r="D210" s="286"/>
      <c r="E210" s="286"/>
      <c r="F210" s="72"/>
      <c r="G210" s="72">
        <f>40000/7.5345</f>
        <v>5308.9123365850419</v>
      </c>
      <c r="H210" s="72">
        <v>5000</v>
      </c>
      <c r="I210" s="72">
        <v>5000</v>
      </c>
      <c r="J210" s="72"/>
      <c r="K210" s="72"/>
    </row>
    <row r="211" spans="1:16" x14ac:dyDescent="0.25">
      <c r="A211" s="286"/>
      <c r="B211" s="71"/>
      <c r="C211" s="286"/>
      <c r="D211" s="286"/>
      <c r="E211" s="286"/>
      <c r="F211" s="272"/>
      <c r="G211" s="272"/>
      <c r="H211" s="272"/>
      <c r="I211" s="272"/>
      <c r="J211" s="272"/>
      <c r="K211" s="272"/>
    </row>
    <row r="212" spans="1:16" x14ac:dyDescent="0.25">
      <c r="A212" s="89" t="s">
        <v>242</v>
      </c>
      <c r="B212" s="89"/>
      <c r="C212" s="89"/>
      <c r="D212" s="89"/>
      <c r="E212" s="89"/>
      <c r="F212" s="101" t="e">
        <f>F214+F289+F354+F365+F405+F421+F471</f>
        <v>#REF!</v>
      </c>
      <c r="G212" s="600" t="e">
        <f>G214+G289+G354+G365+G405+G421+G471</f>
        <v>#REF!</v>
      </c>
      <c r="H212" s="600">
        <f>H214+H289+H354+H365+H405+H421+H471</f>
        <v>1023640</v>
      </c>
      <c r="I212" s="222"/>
      <c r="J212" s="222"/>
      <c r="K212" s="298"/>
    </row>
    <row r="213" spans="1:16" x14ac:dyDescent="0.25">
      <c r="A213" s="601" t="s">
        <v>243</v>
      </c>
      <c r="B213" s="601"/>
      <c r="C213" s="601"/>
      <c r="D213" s="601"/>
      <c r="E213" s="601"/>
      <c r="F213" s="299"/>
      <c r="G213" s="600"/>
      <c r="H213" s="600"/>
      <c r="I213" s="222">
        <f>I214+I289+I355+I365+I405+I421+I471</f>
        <v>1146940</v>
      </c>
      <c r="J213" s="222"/>
      <c r="K213" s="298"/>
    </row>
    <row r="214" spans="1:16" x14ac:dyDescent="0.25">
      <c r="A214" s="81" t="s">
        <v>244</v>
      </c>
      <c r="B214" s="81"/>
      <c r="C214" s="81"/>
      <c r="D214" s="81"/>
      <c r="E214" s="81"/>
      <c r="F214" s="82" t="e">
        <f>F217+F279+F269+F258</f>
        <v>#REF!</v>
      </c>
      <c r="G214" s="82" t="e">
        <f>G216+G279+G269+G258</f>
        <v>#REF!</v>
      </c>
      <c r="H214" s="82">
        <f>H216+H225+H233+H248+H258+H269+H279</f>
        <v>233300</v>
      </c>
      <c r="I214" s="82">
        <f>I217+I225+I233+I248+I258+I269+I279</f>
        <v>123700</v>
      </c>
      <c r="J214" s="82"/>
      <c r="K214" s="79"/>
    </row>
    <row r="215" spans="1:16" ht="15" customHeight="1" x14ac:dyDescent="0.25">
      <c r="A215" s="292" t="s">
        <v>431</v>
      </c>
      <c r="B215" s="293"/>
      <c r="C215" s="293"/>
      <c r="D215" s="293"/>
      <c r="E215" s="159"/>
      <c r="F215" s="159"/>
      <c r="G215" s="159"/>
      <c r="H215" s="159"/>
      <c r="I215" s="159"/>
      <c r="J215" s="159"/>
      <c r="K215" s="272"/>
      <c r="L215" s="264"/>
    </row>
    <row r="216" spans="1:16" x14ac:dyDescent="0.25">
      <c r="A216" s="96" t="s">
        <v>375</v>
      </c>
      <c r="B216" s="96"/>
      <c r="C216" s="96"/>
      <c r="D216" s="96"/>
      <c r="E216" s="96"/>
      <c r="F216" s="289"/>
      <c r="G216" s="587" t="e">
        <f>G220</f>
        <v>#REF!</v>
      </c>
      <c r="H216" s="587">
        <f>H219</f>
        <v>163000</v>
      </c>
      <c r="I216" s="155"/>
      <c r="J216" s="155"/>
      <c r="K216" s="235"/>
    </row>
    <row r="217" spans="1:16" x14ac:dyDescent="0.25">
      <c r="A217" s="590"/>
      <c r="B217" s="590"/>
      <c r="C217" s="590"/>
      <c r="D217" s="590"/>
      <c r="E217" s="590"/>
      <c r="F217" s="93" t="e">
        <f t="shared" ref="F217" si="28">F220</f>
        <v>#REF!</v>
      </c>
      <c r="G217" s="587"/>
      <c r="H217" s="587"/>
      <c r="I217" s="155">
        <f>I219</f>
        <v>74000</v>
      </c>
      <c r="J217" s="155"/>
      <c r="K217" s="102">
        <f>K222</f>
        <v>78058.850000000006</v>
      </c>
      <c r="N217" s="33" t="s">
        <v>802</v>
      </c>
    </row>
    <row r="218" spans="1:16" x14ac:dyDescent="0.25">
      <c r="A218" s="286"/>
      <c r="B218" s="286"/>
      <c r="C218" s="286"/>
      <c r="D218" s="286"/>
      <c r="E218" s="286"/>
      <c r="F218" s="40"/>
      <c r="G218" s="40"/>
      <c r="H218" s="40"/>
      <c r="I218" s="40"/>
      <c r="J218" s="40"/>
      <c r="K218" s="40"/>
      <c r="N218" t="s">
        <v>803</v>
      </c>
    </row>
    <row r="219" spans="1:16" x14ac:dyDescent="0.25">
      <c r="A219" s="166">
        <v>3</v>
      </c>
      <c r="B219" s="166" t="s">
        <v>181</v>
      </c>
      <c r="C219" s="166"/>
      <c r="D219" s="166"/>
      <c r="E219" s="166"/>
      <c r="F219" s="79"/>
      <c r="G219" s="79" t="e">
        <f>G220</f>
        <v>#REF!</v>
      </c>
      <c r="H219" s="79">
        <f>H220</f>
        <v>163000</v>
      </c>
      <c r="I219" s="79">
        <f>I220</f>
        <v>74000</v>
      </c>
      <c r="J219" s="79"/>
      <c r="K219" s="79"/>
      <c r="N219" t="s">
        <v>522</v>
      </c>
    </row>
    <row r="220" spans="1:16" x14ac:dyDescent="0.25">
      <c r="A220" s="166">
        <v>32</v>
      </c>
      <c r="B220" s="166" t="s">
        <v>155</v>
      </c>
      <c r="C220" s="166"/>
      <c r="D220" s="166"/>
      <c r="E220" s="166"/>
      <c r="F220" s="79" t="e">
        <f>#REF!+F221</f>
        <v>#REF!</v>
      </c>
      <c r="G220" s="79" t="e">
        <f>#REF!+G221</f>
        <v>#REF!</v>
      </c>
      <c r="H220" s="79">
        <f>H221</f>
        <v>163000</v>
      </c>
      <c r="I220" s="79">
        <f>I221</f>
        <v>74000</v>
      </c>
      <c r="J220" s="79"/>
      <c r="K220" s="79"/>
      <c r="N220" t="s">
        <v>521</v>
      </c>
    </row>
    <row r="221" spans="1:16" x14ac:dyDescent="0.25">
      <c r="A221" s="166">
        <v>323</v>
      </c>
      <c r="B221" s="166" t="s">
        <v>158</v>
      </c>
      <c r="C221" s="166"/>
      <c r="D221" s="166"/>
      <c r="E221" s="166"/>
      <c r="F221" s="79">
        <f>SUM(F222:F222)</f>
        <v>384148.09</v>
      </c>
      <c r="G221" s="79">
        <f>SUM(G222:G222)</f>
        <v>147985.93138230804</v>
      </c>
      <c r="H221" s="79">
        <f>H222</f>
        <v>163000</v>
      </c>
      <c r="I221" s="79">
        <f>I222</f>
        <v>74000</v>
      </c>
      <c r="J221" s="79"/>
      <c r="K221" s="79"/>
      <c r="N221" t="s">
        <v>834</v>
      </c>
    </row>
    <row r="222" spans="1:16" x14ac:dyDescent="0.25">
      <c r="A222" s="75">
        <v>3232</v>
      </c>
      <c r="B222" s="599" t="s">
        <v>376</v>
      </c>
      <c r="C222" s="599"/>
      <c r="D222" s="599"/>
      <c r="E222" s="599"/>
      <c r="F222" s="268">
        <f>2987.5+21646.5+359514.09</f>
        <v>384148.09</v>
      </c>
      <c r="G222" s="231">
        <f>1115000/7.5345</f>
        <v>147985.93138230804</v>
      </c>
      <c r="H222" s="231">
        <f>12000+3000+3000+55000+90000</f>
        <v>163000</v>
      </c>
      <c r="I222" s="231">
        <f>15000+3000+3000+50000+40000+3000-40000</f>
        <v>74000</v>
      </c>
      <c r="J222" s="231"/>
      <c r="K222" s="231">
        <f>3000+75058.85</f>
        <v>78058.850000000006</v>
      </c>
      <c r="N222" t="s">
        <v>826</v>
      </c>
    </row>
    <row r="223" spans="1:16" x14ac:dyDescent="0.25">
      <c r="A223" s="75"/>
      <c r="B223" s="300"/>
      <c r="C223" s="300"/>
      <c r="D223" s="300"/>
      <c r="E223" s="300"/>
      <c r="F223" s="268"/>
      <c r="G223" s="231"/>
      <c r="H223" s="231"/>
      <c r="I223" s="231"/>
      <c r="J223" s="231"/>
      <c r="K223" s="231"/>
      <c r="N223" t="s">
        <v>461</v>
      </c>
      <c r="P223" s="33">
        <v>3000</v>
      </c>
    </row>
    <row r="224" spans="1:16" ht="15" customHeight="1" x14ac:dyDescent="0.25">
      <c r="A224" s="292" t="s">
        <v>440</v>
      </c>
      <c r="B224" s="293"/>
      <c r="C224" s="293"/>
      <c r="D224" s="293"/>
      <c r="E224" s="159"/>
      <c r="F224" s="159"/>
      <c r="G224" s="159"/>
      <c r="H224" s="159"/>
      <c r="I224" s="159"/>
      <c r="J224" s="159"/>
      <c r="K224" s="272"/>
      <c r="L224" s="264"/>
      <c r="N224"/>
    </row>
    <row r="225" spans="1:16" x14ac:dyDescent="0.25">
      <c r="A225" s="100" t="s">
        <v>377</v>
      </c>
      <c r="B225" s="318"/>
      <c r="C225" s="318"/>
      <c r="D225" s="318"/>
      <c r="E225" s="318"/>
      <c r="F225" s="302"/>
      <c r="G225" s="273"/>
      <c r="H225" s="273">
        <f>H227</f>
        <v>3000</v>
      </c>
      <c r="I225" s="102">
        <f>I227</f>
        <v>3000</v>
      </c>
      <c r="J225" s="102"/>
      <c r="K225" s="273">
        <f>K230</f>
        <v>656.25</v>
      </c>
      <c r="O225" s="65"/>
      <c r="P225" s="65"/>
    </row>
    <row r="226" spans="1:16" x14ac:dyDescent="0.25">
      <c r="A226" s="71"/>
      <c r="B226" s="290"/>
      <c r="C226" s="290"/>
      <c r="D226" s="290"/>
      <c r="E226" s="290"/>
      <c r="F226" s="72"/>
      <c r="G226" s="231"/>
      <c r="H226" s="231"/>
      <c r="I226" s="231"/>
      <c r="J226" s="231"/>
      <c r="K226" s="231"/>
      <c r="O226" s="65"/>
      <c r="P226" s="65"/>
    </row>
    <row r="227" spans="1:16" x14ac:dyDescent="0.25">
      <c r="A227" s="166">
        <v>3</v>
      </c>
      <c r="B227" s="166" t="s">
        <v>181</v>
      </c>
      <c r="C227" s="166"/>
      <c r="D227" s="166"/>
      <c r="E227" s="290"/>
      <c r="F227" s="72"/>
      <c r="G227" s="231"/>
      <c r="H227" s="235">
        <f t="shared" ref="H227:I229" si="29">H228</f>
        <v>3000</v>
      </c>
      <c r="I227" s="235">
        <f t="shared" si="29"/>
        <v>3000</v>
      </c>
      <c r="J227" s="235"/>
      <c r="K227" s="235"/>
    </row>
    <row r="228" spans="1:16" x14ac:dyDescent="0.25">
      <c r="A228" s="166">
        <v>32</v>
      </c>
      <c r="B228" s="166" t="s">
        <v>155</v>
      </c>
      <c r="C228" s="166"/>
      <c r="D228" s="166"/>
      <c r="E228" s="290"/>
      <c r="F228" s="72"/>
      <c r="G228" s="231"/>
      <c r="H228" s="235">
        <f t="shared" si="29"/>
        <v>3000</v>
      </c>
      <c r="I228" s="235">
        <f t="shared" si="29"/>
        <v>3000</v>
      </c>
      <c r="J228" s="235"/>
      <c r="K228" s="235"/>
    </row>
    <row r="229" spans="1:16" x14ac:dyDescent="0.25">
      <c r="A229" s="166">
        <v>323</v>
      </c>
      <c r="B229" s="166" t="s">
        <v>158</v>
      </c>
      <c r="C229" s="166"/>
      <c r="D229" s="166"/>
      <c r="E229" s="300"/>
      <c r="F229" s="268"/>
      <c r="G229" s="231"/>
      <c r="H229" s="235">
        <f t="shared" si="29"/>
        <v>3000</v>
      </c>
      <c r="I229" s="235">
        <f t="shared" si="29"/>
        <v>3000</v>
      </c>
      <c r="J229" s="235"/>
      <c r="K229" s="235"/>
    </row>
    <row r="230" spans="1:16" x14ac:dyDescent="0.25">
      <c r="A230" s="75" t="s">
        <v>544</v>
      </c>
      <c r="B230" s="300"/>
      <c r="C230" s="300"/>
      <c r="D230" s="300"/>
      <c r="E230" s="300"/>
      <c r="F230" s="268"/>
      <c r="G230" s="231"/>
      <c r="H230" s="231">
        <v>3000</v>
      </c>
      <c r="I230" s="231">
        <v>3000</v>
      </c>
      <c r="J230" s="231"/>
      <c r="K230" s="231">
        <v>656.25</v>
      </c>
    </row>
    <row r="231" spans="1:16" x14ac:dyDescent="0.25">
      <c r="A231" s="75"/>
      <c r="B231" s="300"/>
      <c r="C231" s="300"/>
      <c r="D231" s="300"/>
      <c r="E231" s="300"/>
      <c r="F231" s="268"/>
      <c r="G231" s="231"/>
      <c r="H231" s="231"/>
      <c r="I231" s="231"/>
      <c r="J231" s="231"/>
      <c r="K231" s="231"/>
    </row>
    <row r="232" spans="1:16" ht="15" customHeight="1" x14ac:dyDescent="0.25">
      <c r="A232" s="292" t="s">
        <v>431</v>
      </c>
      <c r="B232" s="293"/>
      <c r="C232" s="293"/>
      <c r="D232" s="293"/>
      <c r="E232" s="159"/>
      <c r="F232" s="159"/>
      <c r="G232" s="159"/>
      <c r="H232" s="159"/>
      <c r="I232" s="159"/>
      <c r="J232" s="159"/>
      <c r="K232" s="272"/>
      <c r="L232" s="264"/>
    </row>
    <row r="233" spans="1:16" x14ac:dyDescent="0.25">
      <c r="A233" s="100" t="s">
        <v>478</v>
      </c>
      <c r="B233" s="318"/>
      <c r="C233" s="318"/>
      <c r="D233" s="318"/>
      <c r="E233" s="318"/>
      <c r="F233" s="302"/>
      <c r="G233" s="273"/>
      <c r="H233" s="102">
        <f>H235</f>
        <v>31500</v>
      </c>
      <c r="I233" s="102">
        <f>I235</f>
        <v>22000</v>
      </c>
      <c r="J233" s="102"/>
      <c r="K233" s="102">
        <f>SUM(K235:K245)</f>
        <v>30804.959999999999</v>
      </c>
    </row>
    <row r="234" spans="1:16" x14ac:dyDescent="0.25">
      <c r="A234" s="71"/>
      <c r="B234" s="290"/>
      <c r="C234" s="290"/>
      <c r="D234" s="290"/>
      <c r="E234" s="290"/>
      <c r="F234" s="72"/>
      <c r="G234" s="231"/>
      <c r="H234" s="231"/>
      <c r="I234" s="231"/>
      <c r="J234" s="231"/>
      <c r="K234" s="231"/>
    </row>
    <row r="235" spans="1:16" x14ac:dyDescent="0.25">
      <c r="A235" s="166">
        <v>3</v>
      </c>
      <c r="B235" s="166" t="s">
        <v>181</v>
      </c>
      <c r="C235" s="290"/>
      <c r="D235" s="290"/>
      <c r="E235" s="290"/>
      <c r="F235" s="72"/>
      <c r="G235" s="231"/>
      <c r="H235" s="235">
        <f>H236</f>
        <v>31500</v>
      </c>
      <c r="I235" s="235">
        <f>I236</f>
        <v>22000</v>
      </c>
      <c r="J235" s="235"/>
      <c r="K235" s="235"/>
    </row>
    <row r="236" spans="1:16" x14ac:dyDescent="0.25">
      <c r="A236" s="166">
        <v>32</v>
      </c>
      <c r="B236" s="570" t="s">
        <v>155</v>
      </c>
      <c r="C236" s="570"/>
      <c r="D236" s="570"/>
      <c r="E236" s="570"/>
      <c r="F236" s="72"/>
      <c r="G236" s="231"/>
      <c r="H236" s="235">
        <f>H237+H242</f>
        <v>31500</v>
      </c>
      <c r="I236" s="235">
        <f>I237+I242</f>
        <v>22000</v>
      </c>
      <c r="J236" s="235"/>
      <c r="K236" s="235"/>
    </row>
    <row r="237" spans="1:16" x14ac:dyDescent="0.25">
      <c r="A237" s="166">
        <v>322</v>
      </c>
      <c r="B237" s="287" t="s">
        <v>247</v>
      </c>
      <c r="C237" s="290"/>
      <c r="D237" s="290"/>
      <c r="E237" s="290"/>
      <c r="F237" s="72"/>
      <c r="G237" s="231"/>
      <c r="H237" s="235">
        <f>H238+H239+H240+H241</f>
        <v>11500</v>
      </c>
      <c r="I237" s="235">
        <f>I238+I239+I240+I241</f>
        <v>14500</v>
      </c>
      <c r="J237" s="235"/>
      <c r="K237" s="235"/>
    </row>
    <row r="238" spans="1:16" x14ac:dyDescent="0.25">
      <c r="A238" s="75" t="s">
        <v>540</v>
      </c>
      <c r="B238" s="300"/>
      <c r="C238" s="300"/>
      <c r="D238" s="300"/>
      <c r="E238" s="300"/>
      <c r="F238" s="268"/>
      <c r="G238" s="231"/>
      <c r="H238" s="231">
        <v>5000</v>
      </c>
      <c r="I238" s="231">
        <v>5000</v>
      </c>
      <c r="J238" s="231"/>
      <c r="K238" s="231">
        <v>4007.35</v>
      </c>
    </row>
    <row r="239" spans="1:16" x14ac:dyDescent="0.25">
      <c r="A239" s="75" t="s">
        <v>541</v>
      </c>
      <c r="B239" s="300"/>
      <c r="C239" s="300"/>
      <c r="D239" s="300"/>
      <c r="E239" s="300"/>
      <c r="F239" s="268"/>
      <c r="G239" s="231"/>
      <c r="H239" s="231">
        <v>5000</v>
      </c>
      <c r="I239" s="231">
        <v>8000</v>
      </c>
      <c r="J239" s="231"/>
      <c r="K239" s="231">
        <f>1518.42+18.2+140.28+5846.5</f>
        <v>7523.4</v>
      </c>
    </row>
    <row r="240" spans="1:16" x14ac:dyDescent="0.25">
      <c r="A240" s="75" t="s">
        <v>542</v>
      </c>
      <c r="B240" s="300"/>
      <c r="C240" s="300"/>
      <c r="D240" s="300"/>
      <c r="E240" s="300"/>
      <c r="F240" s="268"/>
      <c r="G240" s="231"/>
      <c r="H240" s="231">
        <v>500</v>
      </c>
      <c r="I240" s="231">
        <v>500</v>
      </c>
      <c r="J240" s="231"/>
      <c r="K240" s="231">
        <f>66.3+1430.84</f>
        <v>1497.1399999999999</v>
      </c>
    </row>
    <row r="241" spans="1:12" x14ac:dyDescent="0.25">
      <c r="A241" s="75" t="s">
        <v>543</v>
      </c>
      <c r="B241" s="300"/>
      <c r="C241" s="300"/>
      <c r="D241" s="300"/>
      <c r="E241" s="300"/>
      <c r="F241" s="268"/>
      <c r="G241" s="231"/>
      <c r="H241" s="231">
        <v>1000</v>
      </c>
      <c r="I241" s="231">
        <v>1000</v>
      </c>
      <c r="J241" s="231"/>
      <c r="K241" s="231">
        <v>73.11</v>
      </c>
    </row>
    <row r="242" spans="1:12" x14ac:dyDescent="0.25">
      <c r="A242" s="166">
        <v>323</v>
      </c>
      <c r="B242" s="166" t="s">
        <v>158</v>
      </c>
      <c r="C242" s="300"/>
      <c r="D242" s="300"/>
      <c r="E242" s="300"/>
      <c r="F242" s="268"/>
      <c r="G242" s="231"/>
      <c r="H242" s="235">
        <f>H243+H244+H245</f>
        <v>20000</v>
      </c>
      <c r="I242" s="235">
        <f>I243+I244+I245</f>
        <v>7500</v>
      </c>
      <c r="J242" s="235"/>
      <c r="K242" s="235"/>
    </row>
    <row r="243" spans="1:12" x14ac:dyDescent="0.25">
      <c r="A243" s="75" t="s">
        <v>537</v>
      </c>
      <c r="B243" s="300"/>
      <c r="C243" s="300"/>
      <c r="D243" s="300"/>
      <c r="E243" s="300"/>
      <c r="F243" s="268"/>
      <c r="G243" s="231"/>
      <c r="H243" s="231">
        <v>5000</v>
      </c>
      <c r="I243" s="231">
        <v>3000</v>
      </c>
      <c r="J243" s="231"/>
      <c r="K243" s="231">
        <v>1686.3</v>
      </c>
    </row>
    <row r="244" spans="1:12" x14ac:dyDescent="0.25">
      <c r="A244" s="71" t="s">
        <v>538</v>
      </c>
      <c r="B244" s="71"/>
      <c r="C244" s="71"/>
      <c r="D244" s="71"/>
      <c r="E244" s="71"/>
      <c r="F244" s="72"/>
      <c r="G244" s="231"/>
      <c r="H244" s="231">
        <v>1000</v>
      </c>
      <c r="I244" s="231">
        <v>1000</v>
      </c>
      <c r="J244" s="231"/>
      <c r="K244" s="231">
        <v>50.69</v>
      </c>
    </row>
    <row r="245" spans="1:12" x14ac:dyDescent="0.25">
      <c r="A245" s="71" t="s">
        <v>539</v>
      </c>
      <c r="B245" s="71"/>
      <c r="C245" s="71"/>
      <c r="D245" s="71"/>
      <c r="E245" s="71"/>
      <c r="F245" s="72"/>
      <c r="G245" s="231"/>
      <c r="H245" s="231">
        <f>15000-1000</f>
        <v>14000</v>
      </c>
      <c r="I245" s="231">
        <f>4000-500</f>
        <v>3500</v>
      </c>
      <c r="J245" s="231"/>
      <c r="K245" s="231">
        <f>1885.72+14081.25</f>
        <v>15966.97</v>
      </c>
    </row>
    <row r="246" spans="1:12" x14ac:dyDescent="0.25">
      <c r="A246" s="71"/>
      <c r="B246" s="71"/>
      <c r="C246" s="71"/>
      <c r="D246" s="71"/>
      <c r="E246" s="71"/>
      <c r="F246" s="72"/>
      <c r="G246" s="231"/>
      <c r="H246" s="231"/>
      <c r="I246" s="231"/>
      <c r="J246" s="231"/>
      <c r="K246" s="231"/>
    </row>
    <row r="247" spans="1:12" ht="15" customHeight="1" x14ac:dyDescent="0.25">
      <c r="A247" s="292" t="s">
        <v>431</v>
      </c>
      <c r="B247" s="293"/>
      <c r="C247" s="293"/>
      <c r="D247" s="293"/>
      <c r="E247" s="159"/>
      <c r="F247" s="159"/>
      <c r="G247" s="159"/>
      <c r="H247" s="159"/>
      <c r="I247" s="159"/>
      <c r="J247" s="159"/>
      <c r="K247" s="272"/>
      <c r="L247" s="264"/>
    </row>
    <row r="248" spans="1:12" x14ac:dyDescent="0.25">
      <c r="A248" s="314" t="s">
        <v>378</v>
      </c>
      <c r="B248" s="314"/>
      <c r="C248" s="314"/>
      <c r="D248" s="314"/>
      <c r="E248" s="314"/>
      <c r="F248" s="302"/>
      <c r="G248" s="273"/>
      <c r="H248" s="102">
        <f>H250</f>
        <v>1000</v>
      </c>
      <c r="I248" s="102">
        <f>I250</f>
        <v>1900</v>
      </c>
      <c r="J248" s="102"/>
      <c r="K248" s="102">
        <f>K253</f>
        <v>1107.3500000000001</v>
      </c>
    </row>
    <row r="249" spans="1:12" x14ac:dyDescent="0.25">
      <c r="A249" s="71"/>
      <c r="B249" s="71"/>
      <c r="C249" s="71"/>
      <c r="D249" s="71"/>
      <c r="E249" s="71"/>
      <c r="F249" s="72"/>
      <c r="G249" s="231"/>
      <c r="H249" s="231"/>
      <c r="I249" s="231"/>
      <c r="J249" s="231"/>
      <c r="K249" s="231"/>
    </row>
    <row r="250" spans="1:12" x14ac:dyDescent="0.25">
      <c r="A250" s="166">
        <v>3</v>
      </c>
      <c r="B250" s="166" t="s">
        <v>181</v>
      </c>
      <c r="C250" s="166"/>
      <c r="D250" s="166"/>
      <c r="E250" s="166"/>
      <c r="F250" s="72"/>
      <c r="G250" s="231"/>
      <c r="H250" s="235">
        <f>H251</f>
        <v>1000</v>
      </c>
      <c r="I250" s="235">
        <f>I251</f>
        <v>1900</v>
      </c>
      <c r="J250" s="235"/>
      <c r="K250" s="235"/>
    </row>
    <row r="251" spans="1:12" x14ac:dyDescent="0.25">
      <c r="A251" s="166">
        <v>32</v>
      </c>
      <c r="B251" s="570" t="s">
        <v>155</v>
      </c>
      <c r="C251" s="570"/>
      <c r="D251" s="570"/>
      <c r="E251" s="570"/>
      <c r="F251" s="72"/>
      <c r="G251" s="231"/>
      <c r="H251" s="235">
        <f>H252+H254</f>
        <v>1000</v>
      </c>
      <c r="I251" s="235">
        <f>I252+I254</f>
        <v>1900</v>
      </c>
      <c r="J251" s="235"/>
      <c r="K251" s="235"/>
    </row>
    <row r="252" spans="1:12" x14ac:dyDescent="0.25">
      <c r="A252" s="166">
        <v>322</v>
      </c>
      <c r="B252" s="287" t="s">
        <v>247</v>
      </c>
      <c r="C252" s="287"/>
      <c r="D252" s="287"/>
      <c r="E252" s="287"/>
      <c r="F252" s="72"/>
      <c r="G252" s="231"/>
      <c r="H252" s="235">
        <f>H253</f>
        <v>500</v>
      </c>
      <c r="I252" s="235">
        <f>I253</f>
        <v>1400</v>
      </c>
      <c r="J252" s="235"/>
      <c r="K252" s="235"/>
    </row>
    <row r="253" spans="1:12" x14ac:dyDescent="0.25">
      <c r="A253" s="71">
        <v>322</v>
      </c>
      <c r="B253" s="71" t="s">
        <v>503</v>
      </c>
      <c r="C253" s="280"/>
      <c r="D253" s="280"/>
      <c r="E253" s="280"/>
      <c r="F253" s="72"/>
      <c r="G253" s="231"/>
      <c r="H253" s="231">
        <v>500</v>
      </c>
      <c r="I253" s="231">
        <f>1500-100</f>
        <v>1400</v>
      </c>
      <c r="J253" s="231"/>
      <c r="K253" s="231">
        <f>1076.71+30.64</f>
        <v>1107.3500000000001</v>
      </c>
    </row>
    <row r="254" spans="1:12" x14ac:dyDescent="0.25">
      <c r="A254" s="166">
        <v>323</v>
      </c>
      <c r="B254" s="287" t="s">
        <v>248</v>
      </c>
      <c r="C254" s="287"/>
      <c r="D254" s="287"/>
      <c r="E254" s="287"/>
      <c r="F254" s="72"/>
      <c r="G254" s="231"/>
      <c r="H254" s="235">
        <f>H255</f>
        <v>500</v>
      </c>
      <c r="I254" s="235">
        <f>I255</f>
        <v>500</v>
      </c>
      <c r="J254" s="235"/>
      <c r="K254" s="235"/>
    </row>
    <row r="255" spans="1:12" x14ac:dyDescent="0.25">
      <c r="A255" s="71">
        <v>3232</v>
      </c>
      <c r="B255" s="71" t="s">
        <v>504</v>
      </c>
      <c r="C255" s="71"/>
      <c r="D255" s="71"/>
      <c r="E255" s="71"/>
      <c r="F255" s="72"/>
      <c r="G255" s="231"/>
      <c r="H255" s="231">
        <v>500</v>
      </c>
      <c r="I255" s="231">
        <v>500</v>
      </c>
      <c r="J255" s="231"/>
      <c r="K255" s="231"/>
    </row>
    <row r="256" spans="1:12" x14ac:dyDescent="0.25">
      <c r="A256" s="71"/>
      <c r="B256" s="71"/>
      <c r="C256" s="71"/>
      <c r="D256" s="71"/>
      <c r="E256" s="71"/>
      <c r="F256" s="72"/>
      <c r="G256" s="231"/>
      <c r="H256" s="231"/>
      <c r="I256" s="231"/>
      <c r="J256" s="231"/>
      <c r="K256" s="231"/>
    </row>
    <row r="257" spans="1:12" ht="15" customHeight="1" x14ac:dyDescent="0.25">
      <c r="A257" s="292" t="s">
        <v>431</v>
      </c>
      <c r="B257" s="293"/>
      <c r="C257" s="293"/>
      <c r="D257" s="293"/>
      <c r="E257" s="159"/>
      <c r="F257" s="159"/>
      <c r="G257" s="159"/>
      <c r="H257" s="159"/>
      <c r="I257" s="159"/>
      <c r="J257" s="159"/>
      <c r="K257" s="272"/>
      <c r="L257" s="264"/>
    </row>
    <row r="258" spans="1:12" x14ac:dyDescent="0.25">
      <c r="A258" s="574" t="s">
        <v>111</v>
      </c>
      <c r="B258" s="574"/>
      <c r="C258" s="574"/>
      <c r="D258" s="574"/>
      <c r="E258" s="574"/>
      <c r="F258" s="94" t="e">
        <f t="shared" ref="F258" si="30">F261</f>
        <v>#REF!</v>
      </c>
      <c r="G258" s="94">
        <f>G261</f>
        <v>10750.547481584708</v>
      </c>
      <c r="H258" s="94">
        <f>H260</f>
        <v>12000</v>
      </c>
      <c r="I258" s="94">
        <f>I260</f>
        <v>3500</v>
      </c>
      <c r="J258" s="94"/>
      <c r="K258" s="94">
        <f>K263+K265</f>
        <v>11271.7</v>
      </c>
    </row>
    <row r="259" spans="1:12" x14ac:dyDescent="0.25">
      <c r="A259" s="71"/>
      <c r="B259" s="71"/>
      <c r="C259" s="286"/>
      <c r="D259" s="286"/>
      <c r="E259" s="286"/>
      <c r="F259" s="72"/>
      <c r="G259" s="231"/>
      <c r="H259" s="231"/>
      <c r="I259" s="231"/>
      <c r="J259" s="231"/>
      <c r="K259" s="231"/>
    </row>
    <row r="260" spans="1:12" x14ac:dyDescent="0.25">
      <c r="A260" s="166">
        <v>3</v>
      </c>
      <c r="B260" s="166" t="s">
        <v>181</v>
      </c>
      <c r="C260" s="166"/>
      <c r="D260" s="166"/>
      <c r="E260" s="166"/>
      <c r="F260" s="79"/>
      <c r="G260" s="235">
        <f>G261</f>
        <v>10750.547481584708</v>
      </c>
      <c r="H260" s="235">
        <f>H261</f>
        <v>12000</v>
      </c>
      <c r="I260" s="235">
        <f>I261</f>
        <v>3500</v>
      </c>
      <c r="J260" s="235"/>
      <c r="K260" s="235"/>
    </row>
    <row r="261" spans="1:12" x14ac:dyDescent="0.25">
      <c r="A261" s="166">
        <v>32</v>
      </c>
      <c r="B261" s="570" t="s">
        <v>155</v>
      </c>
      <c r="C261" s="570"/>
      <c r="D261" s="570"/>
      <c r="E261" s="570"/>
      <c r="F261" s="79" t="e">
        <f>#REF!+#REF!</f>
        <v>#REF!</v>
      </c>
      <c r="G261" s="235">
        <f>G262+G264</f>
        <v>10750.547481584708</v>
      </c>
      <c r="H261" s="235">
        <f>H262+H264</f>
        <v>12000</v>
      </c>
      <c r="I261" s="235">
        <f>I262+I264</f>
        <v>3500</v>
      </c>
      <c r="J261" s="235"/>
      <c r="K261" s="235"/>
    </row>
    <row r="262" spans="1:12" x14ac:dyDescent="0.25">
      <c r="A262" s="166">
        <v>322</v>
      </c>
      <c r="B262" s="287" t="s">
        <v>247</v>
      </c>
      <c r="C262" s="287"/>
      <c r="D262" s="287"/>
      <c r="E262" s="287"/>
      <c r="F262" s="79"/>
      <c r="G262" s="235">
        <f>G263</f>
        <v>398.16842524387812</v>
      </c>
      <c r="H262" s="235">
        <f>H263</f>
        <v>500</v>
      </c>
      <c r="I262" s="235">
        <f>I263</f>
        <v>500</v>
      </c>
      <c r="J262" s="235"/>
      <c r="K262" s="235"/>
    </row>
    <row r="263" spans="1:12" x14ac:dyDescent="0.25">
      <c r="A263" s="71">
        <v>322</v>
      </c>
      <c r="B263" s="280" t="s">
        <v>341</v>
      </c>
      <c r="C263" s="280"/>
      <c r="D263" s="280"/>
      <c r="E263" s="280"/>
      <c r="F263" s="72"/>
      <c r="G263" s="231">
        <f>3000/7.5345</f>
        <v>398.16842524387812</v>
      </c>
      <c r="H263" s="231">
        <v>500</v>
      </c>
      <c r="I263" s="231">
        <v>500</v>
      </c>
      <c r="J263" s="231"/>
      <c r="K263" s="231">
        <f>42.05+269.24+9022.91</f>
        <v>9334.2000000000007</v>
      </c>
    </row>
    <row r="264" spans="1:12" x14ac:dyDescent="0.25">
      <c r="A264" s="166">
        <v>323</v>
      </c>
      <c r="B264" s="287" t="s">
        <v>248</v>
      </c>
      <c r="C264" s="287"/>
      <c r="D264" s="287"/>
      <c r="E264" s="287"/>
      <c r="F264" s="79"/>
      <c r="G264" s="235">
        <f>G266+G265</f>
        <v>10352.379056340831</v>
      </c>
      <c r="H264" s="235">
        <f>H265+H266</f>
        <v>11500</v>
      </c>
      <c r="I264" s="235">
        <f>I265</f>
        <v>3000</v>
      </c>
      <c r="J264" s="235"/>
      <c r="K264" s="235"/>
    </row>
    <row r="265" spans="1:12" x14ac:dyDescent="0.25">
      <c r="A265" s="71">
        <v>3234</v>
      </c>
      <c r="B265" s="71" t="s">
        <v>246</v>
      </c>
      <c r="C265" s="286"/>
      <c r="D265" s="286"/>
      <c r="E265" s="286"/>
      <c r="F265" s="72">
        <v>13987.5</v>
      </c>
      <c r="G265" s="231">
        <f>18000/7.5345</f>
        <v>2389.0105514632687</v>
      </c>
      <c r="H265" s="231">
        <v>2500</v>
      </c>
      <c r="I265" s="231">
        <v>3000</v>
      </c>
      <c r="J265" s="231"/>
      <c r="K265" s="231">
        <v>1937.5</v>
      </c>
    </row>
    <row r="266" spans="1:12" x14ac:dyDescent="0.25">
      <c r="A266" s="555" t="s">
        <v>536</v>
      </c>
      <c r="B266" s="555"/>
      <c r="C266" s="555"/>
      <c r="D266" s="555"/>
      <c r="E266" s="555"/>
      <c r="F266" s="72"/>
      <c r="G266" s="231">
        <f>60000/7.5345</f>
        <v>7963.3685048775624</v>
      </c>
      <c r="H266" s="231">
        <f>10000-1000</f>
        <v>9000</v>
      </c>
      <c r="I266" s="231"/>
      <c r="J266" s="231"/>
      <c r="K266" s="231"/>
    </row>
    <row r="267" spans="1:12" x14ac:dyDescent="0.25">
      <c r="A267" s="281"/>
      <c r="B267" s="281"/>
      <c r="C267" s="281"/>
      <c r="D267" s="281"/>
      <c r="E267" s="281"/>
      <c r="F267" s="72"/>
      <c r="G267" s="231"/>
      <c r="H267" s="231"/>
      <c r="I267" s="231"/>
      <c r="J267" s="231"/>
      <c r="K267" s="231"/>
    </row>
    <row r="268" spans="1:12" ht="15" customHeight="1" x14ac:dyDescent="0.25">
      <c r="A268" s="292" t="s">
        <v>431</v>
      </c>
      <c r="B268" s="293"/>
      <c r="C268" s="293"/>
      <c r="D268" s="293"/>
      <c r="E268" s="159"/>
      <c r="F268" s="159"/>
      <c r="G268" s="159"/>
      <c r="H268" s="159"/>
      <c r="I268" s="159"/>
      <c r="J268" s="159"/>
      <c r="K268" s="272"/>
      <c r="L268" s="264"/>
    </row>
    <row r="269" spans="1:12" x14ac:dyDescent="0.25">
      <c r="A269" s="598" t="s">
        <v>112</v>
      </c>
      <c r="B269" s="598"/>
      <c r="C269" s="598"/>
      <c r="D269" s="598"/>
      <c r="E269" s="598"/>
      <c r="F269" s="94">
        <f>F276</f>
        <v>0</v>
      </c>
      <c r="G269" s="102">
        <f>G272</f>
        <v>663.61404207313024</v>
      </c>
      <c r="H269" s="102">
        <f>H271</f>
        <v>800</v>
      </c>
      <c r="I269" s="102">
        <f>I271</f>
        <v>800</v>
      </c>
      <c r="J269" s="102"/>
      <c r="K269" s="102">
        <f>K274</f>
        <v>85</v>
      </c>
    </row>
    <row r="270" spans="1:12" x14ac:dyDescent="0.25">
      <c r="A270" s="71"/>
      <c r="B270" s="71"/>
      <c r="C270" s="286"/>
      <c r="D270" s="286"/>
      <c r="E270" s="286"/>
      <c r="F270" s="72"/>
      <c r="G270" s="231"/>
      <c r="H270" s="231"/>
      <c r="I270" s="231"/>
      <c r="J270" s="231"/>
      <c r="K270" s="231"/>
    </row>
    <row r="271" spans="1:12" x14ac:dyDescent="0.25">
      <c r="A271" s="166">
        <v>3</v>
      </c>
      <c r="B271" s="166" t="s">
        <v>181</v>
      </c>
      <c r="C271" s="166"/>
      <c r="D271" s="166"/>
      <c r="E271" s="166"/>
      <c r="F271" s="79"/>
      <c r="G271" s="235">
        <f>G272</f>
        <v>663.61404207313024</v>
      </c>
      <c r="H271" s="235">
        <f>H272</f>
        <v>800</v>
      </c>
      <c r="I271" s="235">
        <f>I272</f>
        <v>800</v>
      </c>
      <c r="J271" s="235"/>
      <c r="K271" s="235"/>
    </row>
    <row r="272" spans="1:12" x14ac:dyDescent="0.25">
      <c r="A272" s="303">
        <v>32</v>
      </c>
      <c r="B272" s="582" t="s">
        <v>155</v>
      </c>
      <c r="C272" s="582"/>
      <c r="D272" s="582"/>
      <c r="E272" s="582"/>
      <c r="F272" s="79">
        <f>F276</f>
        <v>0</v>
      </c>
      <c r="G272" s="235">
        <f>G276</f>
        <v>663.61404207313024</v>
      </c>
      <c r="H272" s="235">
        <f>H273+H275</f>
        <v>800</v>
      </c>
      <c r="I272" s="235">
        <f>I273+I275</f>
        <v>800</v>
      </c>
      <c r="J272" s="235"/>
      <c r="K272" s="235"/>
    </row>
    <row r="273" spans="1:12" x14ac:dyDescent="0.25">
      <c r="A273" s="166">
        <v>322</v>
      </c>
      <c r="B273" s="287" t="s">
        <v>247</v>
      </c>
      <c r="C273" s="304"/>
      <c r="D273" s="304"/>
      <c r="E273" s="304"/>
      <c r="F273" s="79"/>
      <c r="G273" s="235"/>
      <c r="H273" s="235">
        <f>H274</f>
        <v>100</v>
      </c>
      <c r="I273" s="235">
        <f>I274</f>
        <v>100</v>
      </c>
      <c r="J273" s="235"/>
      <c r="K273" s="235"/>
    </row>
    <row r="274" spans="1:12" x14ac:dyDescent="0.25">
      <c r="A274" s="71">
        <v>322</v>
      </c>
      <c r="B274" s="280" t="s">
        <v>341</v>
      </c>
      <c r="C274" s="304"/>
      <c r="D274" s="304"/>
      <c r="E274" s="304"/>
      <c r="F274" s="79"/>
      <c r="G274" s="235"/>
      <c r="H274" s="231">
        <v>100</v>
      </c>
      <c r="I274" s="231">
        <v>100</v>
      </c>
      <c r="J274" s="231"/>
      <c r="K274" s="231">
        <v>85</v>
      </c>
    </row>
    <row r="275" spans="1:12" x14ac:dyDescent="0.25">
      <c r="A275" s="303">
        <v>323</v>
      </c>
      <c r="B275" s="304" t="s">
        <v>248</v>
      </c>
      <c r="C275" s="304"/>
      <c r="D275" s="304"/>
      <c r="E275" s="304"/>
      <c r="F275" s="79"/>
      <c r="G275" s="235">
        <f>G276</f>
        <v>663.61404207313024</v>
      </c>
      <c r="H275" s="235">
        <f>H276</f>
        <v>700</v>
      </c>
      <c r="I275" s="235">
        <f>I276</f>
        <v>700</v>
      </c>
      <c r="J275" s="235"/>
      <c r="K275" s="235"/>
    </row>
    <row r="276" spans="1:12" x14ac:dyDescent="0.25">
      <c r="A276" s="71">
        <v>3232</v>
      </c>
      <c r="B276" s="553" t="s">
        <v>250</v>
      </c>
      <c r="C276" s="553"/>
      <c r="D276" s="553"/>
      <c r="E276" s="553"/>
      <c r="F276" s="72"/>
      <c r="G276" s="231">
        <f>5000/7.5345</f>
        <v>663.61404207313024</v>
      </c>
      <c r="H276" s="231">
        <v>700</v>
      </c>
      <c r="I276" s="231">
        <v>700</v>
      </c>
      <c r="J276" s="231"/>
      <c r="K276" s="231"/>
    </row>
    <row r="277" spans="1:12" x14ac:dyDescent="0.25">
      <c r="A277" s="71"/>
      <c r="B277" s="280"/>
      <c r="C277" s="280"/>
      <c r="D277" s="280"/>
      <c r="E277" s="280"/>
      <c r="F277" s="72"/>
      <c r="G277" s="231"/>
      <c r="H277" s="231"/>
      <c r="I277" s="231"/>
      <c r="J277" s="231"/>
      <c r="K277" s="231"/>
    </row>
    <row r="278" spans="1:12" ht="15" customHeight="1" x14ac:dyDescent="0.25">
      <c r="A278" s="292" t="s">
        <v>435</v>
      </c>
      <c r="B278" s="293"/>
      <c r="C278" s="293"/>
      <c r="D278" s="293"/>
      <c r="E278" s="159"/>
      <c r="F278" s="159"/>
      <c r="G278" s="159"/>
      <c r="H278" s="159"/>
      <c r="I278" s="159"/>
      <c r="J278" s="159"/>
      <c r="K278" s="272"/>
      <c r="L278" s="264"/>
    </row>
    <row r="279" spans="1:12" x14ac:dyDescent="0.25">
      <c r="A279" s="596" t="s">
        <v>251</v>
      </c>
      <c r="B279" s="596"/>
      <c r="C279" s="596"/>
      <c r="D279" s="596"/>
      <c r="E279" s="596"/>
      <c r="F279" s="305">
        <f t="shared" ref="F279:G279" si="31">F282</f>
        <v>157865.93</v>
      </c>
      <c r="G279" s="93">
        <f t="shared" si="31"/>
        <v>29199.01785121773</v>
      </c>
      <c r="H279" s="93">
        <f>H281</f>
        <v>22000</v>
      </c>
      <c r="I279" s="93">
        <f>I281</f>
        <v>18500</v>
      </c>
      <c r="J279" s="93"/>
      <c r="K279" s="94">
        <f>K284+K286</f>
        <v>15992.529999999999</v>
      </c>
    </row>
    <row r="280" spans="1:12" x14ac:dyDescent="0.25">
      <c r="A280" s="306"/>
      <c r="B280" s="306"/>
      <c r="C280" s="306"/>
      <c r="D280" s="306"/>
      <c r="E280" s="306"/>
      <c r="F280" s="274"/>
      <c r="G280" s="274"/>
      <c r="H280" s="274"/>
      <c r="I280" s="274"/>
      <c r="J280" s="274"/>
      <c r="K280" s="277"/>
    </row>
    <row r="281" spans="1:12" x14ac:dyDescent="0.25">
      <c r="A281" s="303">
        <v>3</v>
      </c>
      <c r="B281" s="303" t="s">
        <v>181</v>
      </c>
      <c r="C281" s="303"/>
      <c r="D281" s="303"/>
      <c r="E281" s="303"/>
      <c r="F281" s="268"/>
      <c r="G281" s="269">
        <f>G282</f>
        <v>29199.01785121773</v>
      </c>
      <c r="H281" s="269">
        <f>H282</f>
        <v>22000</v>
      </c>
      <c r="I281" s="269">
        <f>I282</f>
        <v>18500</v>
      </c>
      <c r="J281" s="269"/>
      <c r="K281" s="79"/>
    </row>
    <row r="282" spans="1:12" x14ac:dyDescent="0.25">
      <c r="A282" s="166">
        <v>32</v>
      </c>
      <c r="B282" s="166" t="s">
        <v>155</v>
      </c>
      <c r="C282" s="166"/>
      <c r="D282" s="166"/>
      <c r="E282" s="166"/>
      <c r="F282" s="79">
        <f t="shared" ref="F282:G282" si="32">F283+F285</f>
        <v>157865.93</v>
      </c>
      <c r="G282" s="79">
        <f t="shared" si="32"/>
        <v>29199.01785121773</v>
      </c>
      <c r="H282" s="79">
        <f>H283+H285</f>
        <v>22000</v>
      </c>
      <c r="I282" s="79">
        <f>I283+I285</f>
        <v>18500</v>
      </c>
      <c r="J282" s="79"/>
      <c r="K282" s="79"/>
    </row>
    <row r="283" spans="1:12" x14ac:dyDescent="0.25">
      <c r="A283" s="166">
        <v>322</v>
      </c>
      <c r="B283" s="166" t="s">
        <v>157</v>
      </c>
      <c r="C283" s="166"/>
      <c r="D283" s="166"/>
      <c r="E283" s="166"/>
      <c r="F283" s="79">
        <f t="shared" ref="F283:G283" si="33">F284</f>
        <v>41440.93</v>
      </c>
      <c r="G283" s="79">
        <f t="shared" si="33"/>
        <v>13272.280841462605</v>
      </c>
      <c r="H283" s="79">
        <f>H284</f>
        <v>10000</v>
      </c>
      <c r="I283" s="79">
        <f>I284</f>
        <v>10000</v>
      </c>
      <c r="J283" s="79"/>
      <c r="K283" s="79"/>
    </row>
    <row r="284" spans="1:12" x14ac:dyDescent="0.25">
      <c r="A284" s="286">
        <v>3223</v>
      </c>
      <c r="B284" s="286" t="s">
        <v>252</v>
      </c>
      <c r="C284" s="286"/>
      <c r="D284" s="286"/>
      <c r="E284" s="286"/>
      <c r="F284" s="72">
        <v>41440.93</v>
      </c>
      <c r="G284" s="72">
        <f>100000/7.5345</f>
        <v>13272.280841462605</v>
      </c>
      <c r="H284" s="72">
        <f>12000-2000</f>
        <v>10000</v>
      </c>
      <c r="I284" s="72">
        <v>10000</v>
      </c>
      <c r="J284" s="72"/>
      <c r="K284" s="72">
        <v>6380.03</v>
      </c>
    </row>
    <row r="285" spans="1:12" x14ac:dyDescent="0.25">
      <c r="A285" s="166">
        <v>323</v>
      </c>
      <c r="B285" s="166" t="s">
        <v>158</v>
      </c>
      <c r="C285" s="166"/>
      <c r="D285" s="166"/>
      <c r="E285" s="166"/>
      <c r="F285" s="79">
        <f t="shared" ref="F285:G285" si="34">F286</f>
        <v>116425</v>
      </c>
      <c r="G285" s="79">
        <f t="shared" si="34"/>
        <v>15926.737009755125</v>
      </c>
      <c r="H285" s="79">
        <f>H286</f>
        <v>12000</v>
      </c>
      <c r="I285" s="79">
        <f>I286</f>
        <v>8500</v>
      </c>
      <c r="J285" s="79"/>
      <c r="K285" s="79"/>
    </row>
    <row r="286" spans="1:12" x14ac:dyDescent="0.25">
      <c r="A286" s="286">
        <v>3232</v>
      </c>
      <c r="B286" s="71" t="s">
        <v>253</v>
      </c>
      <c r="C286" s="286"/>
      <c r="D286" s="286"/>
      <c r="E286" s="286"/>
      <c r="F286" s="72">
        <v>116425</v>
      </c>
      <c r="G286" s="72">
        <f>120000/7.5345</f>
        <v>15926.737009755125</v>
      </c>
      <c r="H286" s="72">
        <v>12000</v>
      </c>
      <c r="I286" s="72">
        <v>8500</v>
      </c>
      <c r="J286" s="72"/>
      <c r="K286" s="72">
        <v>9612.5</v>
      </c>
    </row>
    <row r="287" spans="1:12" x14ac:dyDescent="0.25">
      <c r="A287" s="286"/>
      <c r="B287" s="71"/>
      <c r="C287" s="286"/>
      <c r="D287" s="286"/>
      <c r="E287" s="286"/>
      <c r="F287" s="72"/>
      <c r="G287" s="72"/>
      <c r="H287" s="72"/>
      <c r="I287" s="72"/>
      <c r="J287" s="72"/>
      <c r="K287" s="72"/>
    </row>
    <row r="288" spans="1:12" ht="15.75" x14ac:dyDescent="0.25">
      <c r="A288" s="286"/>
      <c r="B288" s="71"/>
      <c r="C288" s="286"/>
      <c r="D288" s="286"/>
      <c r="E288" s="286"/>
      <c r="F288" s="275"/>
      <c r="G288" s="275"/>
      <c r="H288" s="275"/>
      <c r="I288" s="275"/>
      <c r="J288" s="275"/>
      <c r="K288" s="275"/>
    </row>
    <row r="289" spans="1:12" x14ac:dyDescent="0.25">
      <c r="A289" s="81" t="s">
        <v>81</v>
      </c>
      <c r="B289" s="81"/>
      <c r="C289" s="81"/>
      <c r="D289" s="81"/>
      <c r="E289" s="81"/>
      <c r="F289" s="82" t="e">
        <f>#REF!+F301+#REF!</f>
        <v>#REF!</v>
      </c>
      <c r="G289" s="82" t="e">
        <f>G300+#REF!+G292+#REF!+#REF!</f>
        <v>#REF!</v>
      </c>
      <c r="H289" s="82">
        <f>H292+H300+H331+H339+H323+H347</f>
        <v>505000</v>
      </c>
      <c r="I289" s="82">
        <f>I292+I301+I308+I315+I323+I331+I339+I347</f>
        <v>782750</v>
      </c>
      <c r="J289" s="82"/>
      <c r="K289" s="79"/>
    </row>
    <row r="290" spans="1:12" x14ac:dyDescent="0.25">
      <c r="A290" s="95" t="s">
        <v>245</v>
      </c>
      <c r="B290" s="95"/>
      <c r="C290" s="95"/>
      <c r="D290" s="95"/>
      <c r="E290" s="95"/>
      <c r="F290" s="98"/>
      <c r="G290" s="98"/>
      <c r="H290" s="98"/>
      <c r="I290" s="98"/>
      <c r="J290" s="98"/>
      <c r="K290" s="72"/>
    </row>
    <row r="291" spans="1:12" x14ac:dyDescent="0.25">
      <c r="A291" s="292" t="s">
        <v>431</v>
      </c>
      <c r="B291" s="292"/>
      <c r="C291" s="292"/>
      <c r="D291" s="292"/>
      <c r="E291" s="276"/>
      <c r="F291" s="276"/>
      <c r="G291" s="276"/>
      <c r="H291" s="276"/>
      <c r="I291" s="276"/>
      <c r="J291" s="276"/>
      <c r="K291" s="307"/>
      <c r="L291" s="265"/>
    </row>
    <row r="292" spans="1:12" x14ac:dyDescent="0.25">
      <c r="A292" s="597" t="s">
        <v>859</v>
      </c>
      <c r="B292" s="597"/>
      <c r="C292" s="597"/>
      <c r="D292" s="597"/>
      <c r="E292" s="597"/>
      <c r="F292" s="94"/>
      <c r="G292" s="94" t="e">
        <f>G295</f>
        <v>#REF!</v>
      </c>
      <c r="H292" s="94">
        <f>H294</f>
        <v>25000</v>
      </c>
      <c r="I292" s="94">
        <f>I294</f>
        <v>40000</v>
      </c>
      <c r="J292" s="94"/>
      <c r="K292" s="94">
        <f>K297</f>
        <v>31572.84</v>
      </c>
    </row>
    <row r="293" spans="1:12" x14ac:dyDescent="0.25">
      <c r="A293" s="71"/>
      <c r="B293" s="71"/>
      <c r="C293" s="71"/>
      <c r="D293" s="71"/>
      <c r="E293" s="71"/>
      <c r="F293" s="72"/>
      <c r="G293" s="72"/>
      <c r="H293" s="72"/>
      <c r="I293" s="72"/>
      <c r="J293" s="72"/>
      <c r="K293" s="72"/>
    </row>
    <row r="294" spans="1:12" x14ac:dyDescent="0.25">
      <c r="A294" s="166">
        <v>4</v>
      </c>
      <c r="B294" s="166" t="s">
        <v>223</v>
      </c>
      <c r="C294" s="166"/>
      <c r="D294" s="166"/>
      <c r="E294" s="166"/>
      <c r="F294" s="79"/>
      <c r="G294" s="79" t="e">
        <f t="shared" ref="G294:H295" si="35">G295</f>
        <v>#REF!</v>
      </c>
      <c r="H294" s="79">
        <f t="shared" si="35"/>
        <v>25000</v>
      </c>
      <c r="I294" s="79">
        <f>I295</f>
        <v>40000</v>
      </c>
      <c r="J294" s="79"/>
      <c r="K294" s="79"/>
    </row>
    <row r="295" spans="1:12" x14ac:dyDescent="0.25">
      <c r="A295" s="166">
        <v>42</v>
      </c>
      <c r="B295" s="588" t="s">
        <v>249</v>
      </c>
      <c r="C295" s="588"/>
      <c r="D295" s="588"/>
      <c r="E295" s="588"/>
      <c r="F295" s="72"/>
      <c r="G295" s="79" t="e">
        <f t="shared" si="35"/>
        <v>#REF!</v>
      </c>
      <c r="H295" s="79">
        <f t="shared" si="35"/>
        <v>25000</v>
      </c>
      <c r="I295" s="79">
        <f>I296</f>
        <v>40000</v>
      </c>
      <c r="J295" s="79"/>
      <c r="K295" s="79"/>
    </row>
    <row r="296" spans="1:12" x14ac:dyDescent="0.25">
      <c r="A296" s="166">
        <v>421</v>
      </c>
      <c r="B296" s="166" t="s">
        <v>167</v>
      </c>
      <c r="C296" s="166"/>
      <c r="D296" s="166"/>
      <c r="E296" s="166"/>
      <c r="F296" s="72"/>
      <c r="G296" s="79" t="e">
        <f>#REF!</f>
        <v>#REF!</v>
      </c>
      <c r="H296" s="79">
        <f>H297</f>
        <v>25000</v>
      </c>
      <c r="I296" s="79">
        <f>I297</f>
        <v>40000</v>
      </c>
      <c r="J296" s="79"/>
      <c r="K296" s="79"/>
    </row>
    <row r="297" spans="1:12" x14ac:dyDescent="0.25">
      <c r="A297" s="71">
        <v>42131</v>
      </c>
      <c r="B297" s="553" t="s">
        <v>840</v>
      </c>
      <c r="C297" s="553"/>
      <c r="D297" s="553"/>
      <c r="E297" s="553"/>
      <c r="F297" s="72"/>
      <c r="G297" s="72"/>
      <c r="H297" s="72">
        <v>25000</v>
      </c>
      <c r="I297" s="72">
        <v>40000</v>
      </c>
      <c r="J297" s="72"/>
      <c r="K297" s="72">
        <v>31572.84</v>
      </c>
    </row>
    <row r="298" spans="1:12" x14ac:dyDescent="0.25">
      <c r="A298" s="75"/>
      <c r="B298" s="281"/>
      <c r="C298" s="281"/>
      <c r="D298" s="281"/>
      <c r="E298" s="281"/>
      <c r="F298" s="72"/>
      <c r="G298" s="72"/>
      <c r="H298" s="72"/>
      <c r="I298" s="72"/>
      <c r="J298" s="72"/>
      <c r="K298" s="72"/>
    </row>
    <row r="299" spans="1:12" x14ac:dyDescent="0.25">
      <c r="A299" s="292" t="s">
        <v>431</v>
      </c>
      <c r="B299" s="292"/>
      <c r="C299" s="292"/>
      <c r="D299" s="292"/>
      <c r="E299" s="276"/>
      <c r="F299" s="276"/>
      <c r="G299" s="276"/>
      <c r="H299" s="276"/>
      <c r="I299" s="276"/>
      <c r="J299" s="276"/>
      <c r="K299" s="307"/>
      <c r="L299" s="265"/>
    </row>
    <row r="300" spans="1:12" x14ac:dyDescent="0.25">
      <c r="A300" s="590" t="s">
        <v>254</v>
      </c>
      <c r="B300" s="590"/>
      <c r="C300" s="590"/>
      <c r="D300" s="590"/>
      <c r="E300" s="590"/>
      <c r="F300" s="93"/>
      <c r="G300" s="587" t="e">
        <f>G304</f>
        <v>#REF!</v>
      </c>
      <c r="H300" s="587">
        <f>H303</f>
        <v>30000</v>
      </c>
      <c r="I300" s="155"/>
      <c r="J300" s="155"/>
      <c r="K300" s="235"/>
    </row>
    <row r="301" spans="1:12" x14ac:dyDescent="0.25">
      <c r="A301" s="590" t="s">
        <v>255</v>
      </c>
      <c r="B301" s="590"/>
      <c r="C301" s="590"/>
      <c r="D301" s="590"/>
      <c r="E301" s="590"/>
      <c r="F301" s="93" t="e">
        <f>F304+#REF!</f>
        <v>#REF!</v>
      </c>
      <c r="G301" s="587"/>
      <c r="H301" s="587"/>
      <c r="I301" s="155">
        <f>I303</f>
        <v>75000</v>
      </c>
      <c r="J301" s="155"/>
      <c r="K301" s="102">
        <f>K306</f>
        <v>58328.63</v>
      </c>
    </row>
    <row r="302" spans="1:12" x14ac:dyDescent="0.25">
      <c r="A302" s="71"/>
      <c r="B302" s="71"/>
      <c r="C302" s="71"/>
      <c r="D302" s="71"/>
      <c r="E302" s="71"/>
      <c r="F302" s="72"/>
      <c r="G302" s="72"/>
      <c r="H302" s="72"/>
      <c r="I302" s="72"/>
      <c r="J302" s="72"/>
      <c r="K302" s="72"/>
    </row>
    <row r="303" spans="1:12" x14ac:dyDescent="0.25">
      <c r="A303" s="166">
        <v>4</v>
      </c>
      <c r="B303" s="166" t="s">
        <v>223</v>
      </c>
      <c r="C303" s="166"/>
      <c r="D303" s="166"/>
      <c r="E303" s="166"/>
      <c r="F303" s="79"/>
      <c r="G303" s="79" t="e">
        <f>G304</f>
        <v>#REF!</v>
      </c>
      <c r="H303" s="79">
        <f>H304</f>
        <v>30000</v>
      </c>
      <c r="I303" s="79">
        <f>I304</f>
        <v>75000</v>
      </c>
      <c r="J303" s="79"/>
      <c r="K303" s="79"/>
    </row>
    <row r="304" spans="1:12" x14ac:dyDescent="0.25">
      <c r="A304" s="166">
        <v>45</v>
      </c>
      <c r="B304" s="588" t="s">
        <v>269</v>
      </c>
      <c r="C304" s="588"/>
      <c r="D304" s="588"/>
      <c r="E304" s="588"/>
      <c r="F304" s="79" t="e">
        <f t="shared" ref="F304:G304" si="36">F305</f>
        <v>#REF!</v>
      </c>
      <c r="G304" s="79" t="e">
        <f t="shared" si="36"/>
        <v>#REF!</v>
      </c>
      <c r="H304" s="79">
        <f>H305</f>
        <v>30000</v>
      </c>
      <c r="I304" s="79">
        <f>I305</f>
        <v>75000</v>
      </c>
      <c r="J304" s="79"/>
      <c r="K304" s="79"/>
    </row>
    <row r="305" spans="1:14" x14ac:dyDescent="0.25">
      <c r="A305" s="166">
        <v>451</v>
      </c>
      <c r="B305" s="166" t="s">
        <v>270</v>
      </c>
      <c r="C305" s="166"/>
      <c r="D305" s="166"/>
      <c r="E305" s="166"/>
      <c r="F305" s="79" t="e">
        <f>#REF!+F306+#REF!</f>
        <v>#REF!</v>
      </c>
      <c r="G305" s="79" t="e">
        <f>G306+#REF!</f>
        <v>#REF!</v>
      </c>
      <c r="H305" s="79">
        <f>H306</f>
        <v>30000</v>
      </c>
      <c r="I305" s="79">
        <f>I306</f>
        <v>75000</v>
      </c>
      <c r="J305" s="79"/>
      <c r="K305" s="79"/>
    </row>
    <row r="306" spans="1:14" x14ac:dyDescent="0.25">
      <c r="A306" s="71">
        <v>4511</v>
      </c>
      <c r="B306" s="553" t="s">
        <v>796</v>
      </c>
      <c r="C306" s="553"/>
      <c r="D306" s="553"/>
      <c r="E306" s="553"/>
      <c r="F306" s="72">
        <v>18750</v>
      </c>
      <c r="G306" s="72">
        <f>500000/7.5345</f>
        <v>66361.404207313026</v>
      </c>
      <c r="H306" s="72">
        <v>30000</v>
      </c>
      <c r="I306" s="72">
        <v>75000</v>
      </c>
      <c r="J306" s="72"/>
      <c r="K306" s="72">
        <v>58328.63</v>
      </c>
      <c r="N306" s="33" t="s">
        <v>517</v>
      </c>
    </row>
    <row r="307" spans="1:14" x14ac:dyDescent="0.25">
      <c r="A307" s="71"/>
      <c r="B307" s="281"/>
      <c r="C307" s="281"/>
      <c r="D307" s="281"/>
      <c r="E307" s="281"/>
      <c r="F307" s="268"/>
      <c r="G307" s="72"/>
      <c r="H307" s="72"/>
      <c r="I307" s="72"/>
      <c r="J307" s="72"/>
      <c r="K307" s="72"/>
    </row>
    <row r="308" spans="1:14" x14ac:dyDescent="0.25">
      <c r="A308" s="590" t="s">
        <v>797</v>
      </c>
      <c r="B308" s="590"/>
      <c r="C308" s="590"/>
      <c r="D308" s="590"/>
      <c r="E308" s="590"/>
      <c r="F308" s="268"/>
      <c r="G308" s="302"/>
      <c r="H308" s="302"/>
      <c r="I308" s="94">
        <f>I310</f>
        <v>35000</v>
      </c>
      <c r="J308" s="94"/>
      <c r="K308" s="302"/>
    </row>
    <row r="309" spans="1:14" x14ac:dyDescent="0.25">
      <c r="A309" s="71"/>
      <c r="B309" s="281"/>
      <c r="C309" s="281"/>
      <c r="D309" s="281"/>
      <c r="E309" s="281"/>
      <c r="F309" s="268"/>
      <c r="G309" s="72"/>
      <c r="H309" s="72"/>
      <c r="I309" s="72"/>
      <c r="J309" s="72"/>
      <c r="K309" s="72"/>
    </row>
    <row r="310" spans="1:14" x14ac:dyDescent="0.25">
      <c r="A310" s="166">
        <v>4</v>
      </c>
      <c r="B310" s="166" t="s">
        <v>223</v>
      </c>
      <c r="C310" s="166"/>
      <c r="D310" s="166"/>
      <c r="E310" s="166"/>
      <c r="F310" s="268"/>
      <c r="G310" s="72"/>
      <c r="H310" s="72"/>
      <c r="I310" s="79">
        <f>I311</f>
        <v>35000</v>
      </c>
      <c r="J310" s="79"/>
      <c r="K310" s="72"/>
    </row>
    <row r="311" spans="1:14" x14ac:dyDescent="0.25">
      <c r="A311" s="166">
        <v>45</v>
      </c>
      <c r="B311" s="588" t="s">
        <v>269</v>
      </c>
      <c r="C311" s="588"/>
      <c r="D311" s="588"/>
      <c r="E311" s="588"/>
      <c r="F311" s="268"/>
      <c r="G311" s="72"/>
      <c r="H311" s="72"/>
      <c r="I311" s="79">
        <f>I312</f>
        <v>35000</v>
      </c>
      <c r="J311" s="79"/>
      <c r="K311" s="72"/>
    </row>
    <row r="312" spans="1:14" x14ac:dyDescent="0.25">
      <c r="A312" s="166">
        <v>451</v>
      </c>
      <c r="B312" s="166" t="s">
        <v>270</v>
      </c>
      <c r="C312" s="166"/>
      <c r="D312" s="166"/>
      <c r="E312" s="166"/>
      <c r="F312" s="268"/>
      <c r="G312" s="72"/>
      <c r="H312" s="72"/>
      <c r="I312" s="79">
        <f>I313</f>
        <v>35000</v>
      </c>
      <c r="J312" s="79"/>
      <c r="K312" s="72"/>
    </row>
    <row r="313" spans="1:14" x14ac:dyDescent="0.25">
      <c r="A313" s="71">
        <v>4511</v>
      </c>
      <c r="B313" s="553"/>
      <c r="C313" s="553"/>
      <c r="D313" s="553"/>
      <c r="E313" s="553"/>
      <c r="F313" s="268"/>
      <c r="G313" s="72"/>
      <c r="H313" s="72"/>
      <c r="I313" s="72">
        <v>35000</v>
      </c>
      <c r="J313" s="72"/>
      <c r="K313" s="72"/>
    </row>
    <row r="314" spans="1:14" x14ac:dyDescent="0.25">
      <c r="A314" s="71"/>
      <c r="B314" s="281"/>
      <c r="C314" s="281"/>
      <c r="D314" s="281"/>
      <c r="E314" s="281"/>
      <c r="F314" s="268"/>
      <c r="G314" s="72"/>
      <c r="H314" s="72"/>
      <c r="I314" s="72"/>
      <c r="J314" s="72"/>
      <c r="K314" s="72"/>
    </row>
    <row r="315" spans="1:14" x14ac:dyDescent="0.25">
      <c r="A315" s="590" t="s">
        <v>825</v>
      </c>
      <c r="B315" s="590"/>
      <c r="C315" s="590"/>
      <c r="D315" s="590"/>
      <c r="E315" s="590"/>
      <c r="F315" s="268"/>
      <c r="G315" s="302"/>
      <c r="H315" s="302"/>
      <c r="I315" s="94">
        <f>I317</f>
        <v>20000</v>
      </c>
      <c r="J315" s="94"/>
      <c r="K315" s="302"/>
    </row>
    <row r="316" spans="1:14" x14ac:dyDescent="0.25">
      <c r="A316" s="71"/>
      <c r="B316" s="281"/>
      <c r="C316" s="281"/>
      <c r="D316" s="281"/>
      <c r="E316" s="281"/>
      <c r="F316" s="268"/>
      <c r="G316" s="72"/>
      <c r="H316" s="72"/>
      <c r="I316" s="72"/>
      <c r="J316" s="72"/>
      <c r="K316" s="72"/>
    </row>
    <row r="317" spans="1:14" x14ac:dyDescent="0.25">
      <c r="A317" s="166">
        <v>4</v>
      </c>
      <c r="B317" s="166" t="s">
        <v>223</v>
      </c>
      <c r="C317" s="166"/>
      <c r="D317" s="166"/>
      <c r="E317" s="166"/>
      <c r="F317" s="268"/>
      <c r="G317" s="72"/>
      <c r="H317" s="72"/>
      <c r="I317" s="79">
        <f>I318</f>
        <v>20000</v>
      </c>
      <c r="J317" s="79"/>
      <c r="K317" s="72"/>
    </row>
    <row r="318" spans="1:14" x14ac:dyDescent="0.25">
      <c r="A318" s="166">
        <v>42</v>
      </c>
      <c r="B318" s="588" t="s">
        <v>249</v>
      </c>
      <c r="C318" s="588"/>
      <c r="D318" s="588"/>
      <c r="E318" s="588"/>
      <c r="F318" s="268"/>
      <c r="G318" s="72"/>
      <c r="H318" s="72"/>
      <c r="I318" s="79">
        <f>I319</f>
        <v>20000</v>
      </c>
      <c r="J318" s="79"/>
      <c r="K318" s="72"/>
    </row>
    <row r="319" spans="1:14" x14ac:dyDescent="0.25">
      <c r="A319" s="166">
        <v>421</v>
      </c>
      <c r="B319" s="166" t="s">
        <v>167</v>
      </c>
      <c r="C319" s="166"/>
      <c r="D319" s="166"/>
      <c r="E319" s="166"/>
      <c r="F319" s="268"/>
      <c r="G319" s="72"/>
      <c r="H319" s="72"/>
      <c r="I319" s="79">
        <f>I320</f>
        <v>20000</v>
      </c>
      <c r="J319" s="79"/>
      <c r="K319" s="72"/>
    </row>
    <row r="320" spans="1:14" x14ac:dyDescent="0.25">
      <c r="A320" s="71">
        <v>42139</v>
      </c>
      <c r="B320" s="553" t="s">
        <v>798</v>
      </c>
      <c r="C320" s="553"/>
      <c r="D320" s="553"/>
      <c r="E320" s="553"/>
      <c r="F320" s="268"/>
      <c r="G320" s="72"/>
      <c r="H320" s="72"/>
      <c r="I320" s="72">
        <v>20000</v>
      </c>
      <c r="J320" s="72"/>
      <c r="K320" s="72"/>
    </row>
    <row r="321" spans="1:19" x14ac:dyDescent="0.25">
      <c r="A321" s="71"/>
      <c r="B321" s="281"/>
      <c r="C321" s="281"/>
      <c r="D321" s="281"/>
      <c r="E321" s="281"/>
      <c r="F321" s="268"/>
      <c r="G321" s="72"/>
      <c r="H321" s="72"/>
      <c r="I321" s="72"/>
      <c r="J321" s="72"/>
      <c r="K321" s="72"/>
    </row>
    <row r="322" spans="1:19" x14ac:dyDescent="0.25">
      <c r="A322" s="292" t="s">
        <v>431</v>
      </c>
      <c r="B322" s="292"/>
      <c r="C322" s="292"/>
      <c r="D322" s="292"/>
      <c r="E322" s="276"/>
      <c r="F322" s="276"/>
      <c r="G322" s="276"/>
      <c r="H322" s="276"/>
      <c r="I322" s="276"/>
      <c r="J322" s="276"/>
      <c r="K322" s="307"/>
      <c r="L322" s="265"/>
    </row>
    <row r="323" spans="1:19" s="117" customFormat="1" x14ac:dyDescent="0.25">
      <c r="A323" s="95" t="s">
        <v>795</v>
      </c>
      <c r="B323" s="308"/>
      <c r="C323" s="308"/>
      <c r="D323" s="308"/>
      <c r="E323" s="308"/>
      <c r="F323" s="278"/>
      <c r="G323" s="94"/>
      <c r="H323" s="94">
        <f>H325</f>
        <v>60000</v>
      </c>
      <c r="I323" s="94">
        <f>I325</f>
        <v>160000</v>
      </c>
      <c r="J323" s="94"/>
      <c r="K323" s="94">
        <f>K328</f>
        <v>3165</v>
      </c>
      <c r="L323" s="164"/>
      <c r="M323" s="164"/>
      <c r="N323" s="164"/>
      <c r="O323" s="164"/>
      <c r="P323" s="164"/>
      <c r="Q323" s="164"/>
      <c r="R323" s="164"/>
      <c r="S323" s="164"/>
    </row>
    <row r="324" spans="1:19" x14ac:dyDescent="0.25">
      <c r="A324" s="71"/>
      <c r="B324" s="71"/>
      <c r="C324" s="71"/>
      <c r="D324" s="71"/>
      <c r="E324" s="71"/>
      <c r="F324" s="72"/>
      <c r="G324" s="72"/>
      <c r="H324" s="72"/>
      <c r="I324" s="72"/>
      <c r="J324" s="72"/>
      <c r="K324" s="72"/>
    </row>
    <row r="325" spans="1:19" x14ac:dyDescent="0.25">
      <c r="A325" s="166">
        <v>4</v>
      </c>
      <c r="B325" s="166" t="s">
        <v>223</v>
      </c>
      <c r="C325" s="166"/>
      <c r="D325" s="166"/>
      <c r="E325" s="166"/>
      <c r="F325" s="79"/>
      <c r="G325" s="79"/>
      <c r="H325" s="79">
        <f t="shared" ref="H325:I327" si="37">H326</f>
        <v>60000</v>
      </c>
      <c r="I325" s="79">
        <f t="shared" si="37"/>
        <v>160000</v>
      </c>
      <c r="J325" s="79"/>
      <c r="K325" s="79"/>
      <c r="M325" s="33" t="s">
        <v>805</v>
      </c>
    </row>
    <row r="326" spans="1:19" x14ac:dyDescent="0.25">
      <c r="A326" s="166">
        <v>42</v>
      </c>
      <c r="B326" s="588" t="s">
        <v>249</v>
      </c>
      <c r="C326" s="588"/>
      <c r="D326" s="588"/>
      <c r="E326" s="588"/>
      <c r="F326" s="79" t="e">
        <f t="shared" ref="F326" si="38">F327</f>
        <v>#REF!</v>
      </c>
      <c r="G326" s="79"/>
      <c r="H326" s="79">
        <f t="shared" si="37"/>
        <v>60000</v>
      </c>
      <c r="I326" s="79">
        <f t="shared" si="37"/>
        <v>160000</v>
      </c>
      <c r="J326" s="79"/>
      <c r="K326" s="79"/>
    </row>
    <row r="327" spans="1:19" x14ac:dyDescent="0.25">
      <c r="A327" s="166">
        <v>421</v>
      </c>
      <c r="B327" s="166" t="s">
        <v>167</v>
      </c>
      <c r="C327" s="166"/>
      <c r="D327" s="166"/>
      <c r="E327" s="166"/>
      <c r="F327" s="79" t="e">
        <f>#REF!</f>
        <v>#REF!</v>
      </c>
      <c r="G327" s="79"/>
      <c r="H327" s="79">
        <f t="shared" si="37"/>
        <v>60000</v>
      </c>
      <c r="I327" s="79">
        <f t="shared" si="37"/>
        <v>160000</v>
      </c>
      <c r="J327" s="79"/>
      <c r="K327" s="79"/>
    </row>
    <row r="328" spans="1:19" x14ac:dyDescent="0.25">
      <c r="A328" s="71">
        <v>4213</v>
      </c>
      <c r="B328" s="553" t="s">
        <v>350</v>
      </c>
      <c r="C328" s="553"/>
      <c r="D328" s="553"/>
      <c r="E328" s="553"/>
      <c r="F328" s="40"/>
      <c r="G328" s="72"/>
      <c r="H328" s="72">
        <v>60000</v>
      </c>
      <c r="I328" s="72">
        <v>160000</v>
      </c>
      <c r="J328" s="72"/>
      <c r="K328" s="72">
        <v>3165</v>
      </c>
    </row>
    <row r="329" spans="1:19" x14ac:dyDescent="0.25">
      <c r="A329" s="71"/>
      <c r="B329" s="280"/>
      <c r="C329" s="280"/>
      <c r="D329" s="280"/>
      <c r="E329" s="280"/>
      <c r="F329" s="40"/>
      <c r="G329" s="72"/>
      <c r="H329" s="72"/>
      <c r="I329" s="72"/>
      <c r="J329" s="72"/>
      <c r="K329" s="72"/>
    </row>
    <row r="330" spans="1:19" x14ac:dyDescent="0.25">
      <c r="A330" s="292" t="s">
        <v>431</v>
      </c>
      <c r="B330" s="292"/>
      <c r="C330" s="292"/>
      <c r="D330" s="292"/>
      <c r="E330" s="276"/>
      <c r="F330" s="276"/>
      <c r="G330" s="276"/>
      <c r="H330" s="276"/>
      <c r="I330" s="276"/>
      <c r="J330" s="276"/>
      <c r="K330" s="307"/>
      <c r="L330" s="265"/>
    </row>
    <row r="331" spans="1:19" s="117" customFormat="1" x14ac:dyDescent="0.25">
      <c r="A331" s="95" t="s">
        <v>836</v>
      </c>
      <c r="B331" s="308"/>
      <c r="C331" s="308"/>
      <c r="D331" s="308"/>
      <c r="E331" s="308"/>
      <c r="F331" s="278"/>
      <c r="G331" s="94"/>
      <c r="H331" s="94">
        <f>H333</f>
        <v>90000</v>
      </c>
      <c r="I331" s="94">
        <f>I333</f>
        <v>130000</v>
      </c>
      <c r="J331" s="94"/>
      <c r="K331" s="94"/>
      <c r="L331" s="164"/>
      <c r="M331" s="33" t="s">
        <v>524</v>
      </c>
      <c r="N331" s="164"/>
      <c r="O331" s="164"/>
      <c r="P331" s="164"/>
      <c r="Q331" s="164"/>
      <c r="R331" s="164"/>
      <c r="S331" s="164"/>
    </row>
    <row r="332" spans="1:19" x14ac:dyDescent="0.25">
      <c r="A332" s="71"/>
      <c r="B332" s="71"/>
      <c r="C332" s="71"/>
      <c r="D332" s="71"/>
      <c r="E332" s="71"/>
      <c r="F332" s="72"/>
      <c r="G332" s="72"/>
      <c r="H332" s="72"/>
      <c r="I332" s="72"/>
      <c r="J332" s="72"/>
      <c r="K332" s="72"/>
    </row>
    <row r="333" spans="1:19" x14ac:dyDescent="0.25">
      <c r="A333" s="166">
        <v>4</v>
      </c>
      <c r="B333" s="166" t="s">
        <v>223</v>
      </c>
      <c r="C333" s="166"/>
      <c r="D333" s="166"/>
      <c r="E333" s="166"/>
      <c r="F333" s="79"/>
      <c r="G333" s="79"/>
      <c r="H333" s="79">
        <f t="shared" ref="H333:I335" si="39">H334</f>
        <v>90000</v>
      </c>
      <c r="I333" s="79">
        <f t="shared" si="39"/>
        <v>130000</v>
      </c>
      <c r="J333" s="79"/>
      <c r="K333" s="79"/>
    </row>
    <row r="334" spans="1:19" x14ac:dyDescent="0.25">
      <c r="A334" s="166">
        <v>42</v>
      </c>
      <c r="B334" s="588" t="s">
        <v>249</v>
      </c>
      <c r="C334" s="588"/>
      <c r="D334" s="588"/>
      <c r="E334" s="588"/>
      <c r="F334" s="79" t="e">
        <f t="shared" ref="F334" si="40">F335</f>
        <v>#REF!</v>
      </c>
      <c r="G334" s="79"/>
      <c r="H334" s="79">
        <f t="shared" si="39"/>
        <v>90000</v>
      </c>
      <c r="I334" s="79">
        <f t="shared" si="39"/>
        <v>130000</v>
      </c>
      <c r="J334" s="79"/>
      <c r="K334" s="79"/>
    </row>
    <row r="335" spans="1:19" x14ac:dyDescent="0.25">
      <c r="A335" s="166">
        <v>421</v>
      </c>
      <c r="B335" s="166" t="s">
        <v>167</v>
      </c>
      <c r="C335" s="166"/>
      <c r="D335" s="166"/>
      <c r="E335" s="166"/>
      <c r="F335" s="79" t="e">
        <f>#REF!</f>
        <v>#REF!</v>
      </c>
      <c r="G335" s="79"/>
      <c r="H335" s="79">
        <f t="shared" si="39"/>
        <v>90000</v>
      </c>
      <c r="I335" s="79">
        <f t="shared" si="39"/>
        <v>130000</v>
      </c>
      <c r="J335" s="79"/>
      <c r="K335" s="79"/>
    </row>
    <row r="336" spans="1:19" x14ac:dyDescent="0.25">
      <c r="A336" s="71">
        <v>4213</v>
      </c>
      <c r="B336" s="553" t="s">
        <v>350</v>
      </c>
      <c r="C336" s="553"/>
      <c r="D336" s="553"/>
      <c r="E336" s="553"/>
      <c r="F336" s="40"/>
      <c r="G336" s="72"/>
      <c r="H336" s="72">
        <f>95000-5000</f>
        <v>90000</v>
      </c>
      <c r="I336" s="72">
        <v>130000</v>
      </c>
      <c r="J336" s="72"/>
      <c r="K336" s="72"/>
      <c r="M336" s="33" t="s">
        <v>806</v>
      </c>
    </row>
    <row r="337" spans="1:13" x14ac:dyDescent="0.25">
      <c r="A337" s="71"/>
      <c r="B337" s="280"/>
      <c r="C337" s="280"/>
      <c r="D337" s="280"/>
      <c r="E337" s="280"/>
      <c r="F337" s="40"/>
      <c r="G337" s="72"/>
      <c r="H337" s="72"/>
      <c r="I337" s="72"/>
      <c r="J337" s="72"/>
      <c r="K337" s="72"/>
    </row>
    <row r="338" spans="1:13" x14ac:dyDescent="0.25">
      <c r="A338" s="292" t="s">
        <v>431</v>
      </c>
      <c r="B338" s="292"/>
      <c r="C338" s="292"/>
      <c r="D338" s="292"/>
      <c r="E338" s="276"/>
      <c r="F338" s="276"/>
      <c r="G338" s="276"/>
      <c r="H338" s="276"/>
      <c r="I338" s="276"/>
      <c r="J338" s="276"/>
      <c r="K338" s="307"/>
      <c r="L338" s="265"/>
    </row>
    <row r="339" spans="1:13" x14ac:dyDescent="0.25">
      <c r="A339" s="95" t="s">
        <v>548</v>
      </c>
      <c r="B339" s="308"/>
      <c r="C339" s="308"/>
      <c r="D339" s="308"/>
      <c r="E339" s="308"/>
      <c r="F339" s="309"/>
      <c r="G339" s="302"/>
      <c r="H339" s="94">
        <f>H341</f>
        <v>230000</v>
      </c>
      <c r="I339" s="94">
        <f>I341</f>
        <v>315750</v>
      </c>
      <c r="J339" s="94"/>
      <c r="K339" s="94">
        <f>K344</f>
        <v>126.05</v>
      </c>
    </row>
    <row r="340" spans="1:13" x14ac:dyDescent="0.25">
      <c r="A340" s="71"/>
      <c r="B340" s="71"/>
      <c r="C340" s="71"/>
      <c r="D340" s="71"/>
      <c r="E340" s="71"/>
      <c r="F340" s="72"/>
      <c r="G340" s="72"/>
      <c r="H340" s="72"/>
      <c r="I340" s="72"/>
      <c r="J340" s="72"/>
      <c r="K340" s="72"/>
      <c r="M340" s="33" t="s">
        <v>524</v>
      </c>
    </row>
    <row r="341" spans="1:13" x14ac:dyDescent="0.25">
      <c r="A341" s="166">
        <v>4</v>
      </c>
      <c r="B341" s="166" t="s">
        <v>223</v>
      </c>
      <c r="C341" s="166"/>
      <c r="D341" s="166"/>
      <c r="E341" s="166"/>
      <c r="F341" s="79"/>
      <c r="G341" s="79"/>
      <c r="H341" s="79">
        <f t="shared" ref="H341:I343" si="41">H342</f>
        <v>230000</v>
      </c>
      <c r="I341" s="79">
        <f t="shared" si="41"/>
        <v>315750</v>
      </c>
      <c r="J341" s="79"/>
      <c r="K341" s="79"/>
    </row>
    <row r="342" spans="1:13" x14ac:dyDescent="0.25">
      <c r="A342" s="166">
        <v>42</v>
      </c>
      <c r="B342" s="588" t="s">
        <v>249</v>
      </c>
      <c r="C342" s="588"/>
      <c r="D342" s="588"/>
      <c r="E342" s="588"/>
      <c r="F342" s="79" t="e">
        <f t="shared" ref="F342" si="42">F343</f>
        <v>#REF!</v>
      </c>
      <c r="G342" s="79"/>
      <c r="H342" s="79">
        <f t="shared" si="41"/>
        <v>230000</v>
      </c>
      <c r="I342" s="79">
        <f t="shared" si="41"/>
        <v>315750</v>
      </c>
      <c r="J342" s="79"/>
      <c r="K342" s="79"/>
    </row>
    <row r="343" spans="1:13" x14ac:dyDescent="0.25">
      <c r="A343" s="166">
        <v>421</v>
      </c>
      <c r="B343" s="166" t="s">
        <v>167</v>
      </c>
      <c r="C343" s="166"/>
      <c r="D343" s="166"/>
      <c r="E343" s="166"/>
      <c r="F343" s="79" t="e">
        <f>#REF!</f>
        <v>#REF!</v>
      </c>
      <c r="G343" s="79"/>
      <c r="H343" s="79">
        <f t="shared" si="41"/>
        <v>230000</v>
      </c>
      <c r="I343" s="79">
        <f t="shared" si="41"/>
        <v>315750</v>
      </c>
      <c r="J343" s="79"/>
      <c r="K343" s="79"/>
    </row>
    <row r="344" spans="1:13" x14ac:dyDescent="0.25">
      <c r="A344" s="71">
        <v>4213</v>
      </c>
      <c r="B344" s="594" t="s">
        <v>350</v>
      </c>
      <c r="C344" s="594"/>
      <c r="D344" s="594"/>
      <c r="E344" s="594"/>
      <c r="F344" s="40"/>
      <c r="G344" s="72"/>
      <c r="H344" s="72">
        <v>230000</v>
      </c>
      <c r="I344" s="72">
        <v>315750</v>
      </c>
      <c r="J344" s="72"/>
      <c r="K344" s="72">
        <v>126.05</v>
      </c>
    </row>
    <row r="345" spans="1:13" x14ac:dyDescent="0.25">
      <c r="A345" s="71"/>
      <c r="B345" s="280"/>
      <c r="C345" s="280"/>
      <c r="D345" s="280"/>
      <c r="E345" s="280"/>
      <c r="F345" s="40"/>
      <c r="G345" s="72"/>
      <c r="H345" s="72"/>
      <c r="I345" s="72"/>
      <c r="J345" s="72"/>
      <c r="K345" s="72"/>
    </row>
    <row r="346" spans="1:13" x14ac:dyDescent="0.25">
      <c r="A346" s="292" t="s">
        <v>431</v>
      </c>
      <c r="B346" s="292"/>
      <c r="C346" s="292"/>
      <c r="D346" s="292"/>
      <c r="E346" s="276"/>
      <c r="F346" s="276"/>
      <c r="G346" s="276"/>
      <c r="H346" s="276"/>
      <c r="I346" s="276"/>
      <c r="J346" s="276"/>
      <c r="K346" s="307"/>
      <c r="L346" s="265"/>
    </row>
    <row r="347" spans="1:13" x14ac:dyDescent="0.25">
      <c r="A347" s="95" t="s">
        <v>827</v>
      </c>
      <c r="B347" s="95"/>
      <c r="C347" s="95"/>
      <c r="D347" s="95"/>
      <c r="E347" s="95"/>
      <c r="F347" s="309"/>
      <c r="G347" s="302"/>
      <c r="H347" s="94">
        <f>H349</f>
        <v>70000</v>
      </c>
      <c r="I347" s="94">
        <f>I349</f>
        <v>7000</v>
      </c>
      <c r="J347" s="94"/>
      <c r="K347" s="94">
        <f>K352</f>
        <v>65571.25</v>
      </c>
      <c r="M347" s="33" t="s">
        <v>524</v>
      </c>
    </row>
    <row r="348" spans="1:13" x14ac:dyDescent="0.25">
      <c r="A348" s="71"/>
      <c r="B348" s="71"/>
      <c r="C348" s="71"/>
      <c r="D348" s="71"/>
      <c r="E348" s="71"/>
      <c r="F348" s="72"/>
      <c r="G348" s="72"/>
      <c r="H348" s="72"/>
      <c r="I348" s="72"/>
      <c r="J348" s="72"/>
      <c r="K348" s="72"/>
    </row>
    <row r="349" spans="1:13" x14ac:dyDescent="0.25">
      <c r="A349" s="166">
        <v>4</v>
      </c>
      <c r="B349" s="166" t="s">
        <v>223</v>
      </c>
      <c r="C349" s="166"/>
      <c r="D349" s="166"/>
      <c r="E349" s="166"/>
      <c r="F349" s="79"/>
      <c r="G349" s="79"/>
      <c r="H349" s="79">
        <f t="shared" ref="H349:I351" si="43">H350</f>
        <v>70000</v>
      </c>
      <c r="I349" s="79">
        <f t="shared" si="43"/>
        <v>7000</v>
      </c>
      <c r="J349" s="79"/>
      <c r="K349" s="79"/>
    </row>
    <row r="350" spans="1:13" x14ac:dyDescent="0.25">
      <c r="A350" s="166">
        <v>42</v>
      </c>
      <c r="B350" s="588" t="s">
        <v>249</v>
      </c>
      <c r="C350" s="588"/>
      <c r="D350" s="588"/>
      <c r="E350" s="588"/>
      <c r="F350" s="79" t="e">
        <f t="shared" ref="F350" si="44">F351</f>
        <v>#REF!</v>
      </c>
      <c r="G350" s="79"/>
      <c r="H350" s="79">
        <f t="shared" si="43"/>
        <v>70000</v>
      </c>
      <c r="I350" s="79">
        <f t="shared" si="43"/>
        <v>7000</v>
      </c>
      <c r="J350" s="79"/>
      <c r="K350" s="79"/>
    </row>
    <row r="351" spans="1:13" x14ac:dyDescent="0.25">
      <c r="A351" s="166">
        <v>421</v>
      </c>
      <c r="B351" s="166" t="s">
        <v>167</v>
      </c>
      <c r="C351" s="166"/>
      <c r="D351" s="166"/>
      <c r="E351" s="166"/>
      <c r="F351" s="79" t="e">
        <f>#REF!</f>
        <v>#REF!</v>
      </c>
      <c r="G351" s="79"/>
      <c r="H351" s="79">
        <f t="shared" si="43"/>
        <v>70000</v>
      </c>
      <c r="I351" s="79">
        <f t="shared" si="43"/>
        <v>7000</v>
      </c>
      <c r="J351" s="79"/>
      <c r="K351" s="79"/>
    </row>
    <row r="352" spans="1:13" x14ac:dyDescent="0.25">
      <c r="A352" s="301">
        <v>4213</v>
      </c>
      <c r="B352" s="553" t="s">
        <v>350</v>
      </c>
      <c r="C352" s="553"/>
      <c r="D352" s="553"/>
      <c r="E352" s="553"/>
      <c r="F352" s="40"/>
      <c r="G352" s="72"/>
      <c r="H352" s="72">
        <f>75000-5000</f>
        <v>70000</v>
      </c>
      <c r="I352" s="72">
        <v>7000</v>
      </c>
      <c r="J352" s="72"/>
      <c r="K352" s="72">
        <v>65571.25</v>
      </c>
    </row>
    <row r="353" spans="1:12" x14ac:dyDescent="0.25">
      <c r="A353" s="71"/>
      <c r="B353" s="281"/>
      <c r="C353" s="281"/>
      <c r="D353" s="281"/>
      <c r="E353" s="281"/>
      <c r="F353" s="295"/>
      <c r="G353" s="72"/>
      <c r="H353" s="72"/>
      <c r="I353" s="72"/>
      <c r="J353" s="72"/>
      <c r="K353" s="72"/>
    </row>
    <row r="354" spans="1:12" x14ac:dyDescent="0.25">
      <c r="A354" s="81" t="s">
        <v>82</v>
      </c>
      <c r="B354" s="81"/>
      <c r="C354" s="81"/>
      <c r="D354" s="81"/>
      <c r="E354" s="81"/>
      <c r="F354" s="82">
        <f t="shared" ref="F354" si="45">F358</f>
        <v>557.22</v>
      </c>
      <c r="G354" s="595">
        <f>G357</f>
        <v>26544.56168292521</v>
      </c>
      <c r="H354" s="595">
        <f>H357</f>
        <v>30000</v>
      </c>
      <c r="I354" s="223"/>
      <c r="J354" s="223"/>
      <c r="K354" s="235"/>
    </row>
    <row r="355" spans="1:12" x14ac:dyDescent="0.25">
      <c r="A355" s="81" t="s">
        <v>83</v>
      </c>
      <c r="B355" s="81"/>
      <c r="C355" s="81"/>
      <c r="D355" s="81"/>
      <c r="E355" s="81"/>
      <c r="F355" s="158"/>
      <c r="G355" s="595"/>
      <c r="H355" s="595"/>
      <c r="I355" s="223">
        <f>I358</f>
        <v>20000</v>
      </c>
      <c r="J355" s="223"/>
      <c r="K355" s="235"/>
    </row>
    <row r="356" spans="1:12" x14ac:dyDescent="0.25">
      <c r="A356" s="292" t="s">
        <v>437</v>
      </c>
      <c r="B356" s="292"/>
      <c r="C356" s="292"/>
      <c r="D356" s="292"/>
      <c r="E356" s="276"/>
      <c r="F356" s="276"/>
      <c r="G356" s="276"/>
      <c r="H356" s="276"/>
      <c r="I356" s="276"/>
      <c r="J356" s="276"/>
      <c r="K356" s="307"/>
      <c r="L356" s="265"/>
    </row>
    <row r="357" spans="1:12" x14ac:dyDescent="0.25">
      <c r="A357" s="96" t="s">
        <v>256</v>
      </c>
      <c r="B357" s="96"/>
      <c r="C357" s="96"/>
      <c r="D357" s="96"/>
      <c r="E357" s="96"/>
      <c r="F357" s="289"/>
      <c r="G357" s="587">
        <f>G361</f>
        <v>26544.56168292521</v>
      </c>
      <c r="H357" s="587">
        <f>H360</f>
        <v>30000</v>
      </c>
      <c r="I357" s="155"/>
      <c r="J357" s="155"/>
      <c r="K357" s="235"/>
    </row>
    <row r="358" spans="1:12" x14ac:dyDescent="0.25">
      <c r="A358" s="590" t="s">
        <v>257</v>
      </c>
      <c r="B358" s="590"/>
      <c r="C358" s="590"/>
      <c r="D358" s="590"/>
      <c r="E358" s="590"/>
      <c r="F358" s="93">
        <f>F361</f>
        <v>557.22</v>
      </c>
      <c r="G358" s="587"/>
      <c r="H358" s="587"/>
      <c r="I358" s="155">
        <f>I360</f>
        <v>20000</v>
      </c>
      <c r="J358" s="155"/>
      <c r="K358" s="102">
        <f>K363</f>
        <v>5087.18</v>
      </c>
    </row>
    <row r="359" spans="1:12" x14ac:dyDescent="0.25">
      <c r="A359" s="285"/>
      <c r="B359" s="285"/>
      <c r="C359" s="285"/>
      <c r="D359" s="285"/>
      <c r="E359" s="285"/>
      <c r="F359" s="72"/>
      <c r="G359" s="72"/>
      <c r="H359" s="72"/>
      <c r="I359" s="72"/>
      <c r="J359" s="72"/>
      <c r="K359" s="72"/>
    </row>
    <row r="360" spans="1:12" x14ac:dyDescent="0.25">
      <c r="A360" s="166">
        <v>4</v>
      </c>
      <c r="B360" s="166" t="s">
        <v>5</v>
      </c>
      <c r="C360" s="166"/>
      <c r="D360" s="166"/>
      <c r="E360" s="166"/>
      <c r="F360" s="72"/>
      <c r="G360" s="79">
        <f>G361</f>
        <v>26544.56168292521</v>
      </c>
      <c r="H360" s="79">
        <f>H361</f>
        <v>30000</v>
      </c>
      <c r="I360" s="79">
        <f>I361</f>
        <v>20000</v>
      </c>
      <c r="J360" s="79"/>
      <c r="K360" s="79"/>
    </row>
    <row r="361" spans="1:12" x14ac:dyDescent="0.25">
      <c r="A361" s="166">
        <v>42</v>
      </c>
      <c r="B361" s="166" t="s">
        <v>258</v>
      </c>
      <c r="C361" s="166"/>
      <c r="D361" s="166"/>
      <c r="E361" s="166"/>
      <c r="F361" s="79">
        <f t="shared" ref="F361:G361" si="46">F362</f>
        <v>557.22</v>
      </c>
      <c r="G361" s="79">
        <f t="shared" si="46"/>
        <v>26544.56168292521</v>
      </c>
      <c r="H361" s="79">
        <f>H362</f>
        <v>30000</v>
      </c>
      <c r="I361" s="79">
        <f>I362</f>
        <v>20000</v>
      </c>
      <c r="J361" s="79"/>
      <c r="K361" s="79"/>
    </row>
    <row r="362" spans="1:12" x14ac:dyDescent="0.25">
      <c r="A362" s="166">
        <v>421</v>
      </c>
      <c r="B362" s="166" t="s">
        <v>167</v>
      </c>
      <c r="C362" s="166"/>
      <c r="D362" s="166"/>
      <c r="E362" s="166"/>
      <c r="F362" s="79">
        <f>SUM(F363:F363)</f>
        <v>557.22</v>
      </c>
      <c r="G362" s="79">
        <f>SUM(G363:G363)</f>
        <v>26544.56168292521</v>
      </c>
      <c r="H362" s="79">
        <f>H363</f>
        <v>30000</v>
      </c>
      <c r="I362" s="79">
        <f>I363</f>
        <v>20000</v>
      </c>
      <c r="J362" s="79"/>
      <c r="K362" s="79"/>
    </row>
    <row r="363" spans="1:12" x14ac:dyDescent="0.25">
      <c r="A363" s="286">
        <v>4214</v>
      </c>
      <c r="B363" s="71" t="s">
        <v>259</v>
      </c>
      <c r="C363" s="286"/>
      <c r="D363" s="286"/>
      <c r="E363" s="286"/>
      <c r="F363" s="72">
        <v>557.22</v>
      </c>
      <c r="G363" s="72">
        <f>200000/7.5345</f>
        <v>26544.56168292521</v>
      </c>
      <c r="H363" s="72">
        <v>30000</v>
      </c>
      <c r="I363" s="72">
        <v>20000</v>
      </c>
      <c r="J363" s="72"/>
      <c r="K363" s="72">
        <v>5087.18</v>
      </c>
    </row>
    <row r="364" spans="1:12" x14ac:dyDescent="0.25">
      <c r="A364" s="286"/>
      <c r="B364" s="71"/>
      <c r="C364" s="286"/>
      <c r="D364" s="286"/>
      <c r="E364" s="286"/>
      <c r="F364" s="72"/>
      <c r="G364" s="72"/>
      <c r="H364" s="72"/>
      <c r="I364" s="72"/>
      <c r="J364" s="72"/>
      <c r="K364" s="72"/>
    </row>
    <row r="365" spans="1:12" x14ac:dyDescent="0.25">
      <c r="A365" s="81" t="s">
        <v>84</v>
      </c>
      <c r="B365" s="81"/>
      <c r="C365" s="81"/>
      <c r="D365" s="81"/>
      <c r="E365" s="81"/>
      <c r="F365" s="82" t="e">
        <f>F367+F381+F393+#REF!</f>
        <v>#REF!</v>
      </c>
      <c r="G365" s="82">
        <f>G367+G381+G393</f>
        <v>22031.98598646227</v>
      </c>
      <c r="H365" s="82">
        <f>H367+H382+H393</f>
        <v>27240</v>
      </c>
      <c r="I365" s="82">
        <f>I367+I382+I393</f>
        <v>23290</v>
      </c>
      <c r="J365" s="82"/>
      <c r="K365" s="79"/>
    </row>
    <row r="366" spans="1:12" x14ac:dyDescent="0.25">
      <c r="A366" s="292" t="s">
        <v>438</v>
      </c>
      <c r="B366" s="292"/>
      <c r="C366" s="292"/>
      <c r="D366" s="292"/>
      <c r="E366" s="276"/>
      <c r="F366" s="276"/>
      <c r="G366" s="276"/>
      <c r="H366" s="276"/>
      <c r="I366" s="276"/>
      <c r="J366" s="276"/>
      <c r="K366" s="307"/>
      <c r="L366" s="265"/>
    </row>
    <row r="367" spans="1:12" x14ac:dyDescent="0.25">
      <c r="A367" s="96" t="s">
        <v>114</v>
      </c>
      <c r="B367" s="96"/>
      <c r="C367" s="96"/>
      <c r="D367" s="96"/>
      <c r="E367" s="96"/>
      <c r="F367" s="93">
        <f>F370+F376</f>
        <v>48481.07</v>
      </c>
      <c r="G367" s="93">
        <f>G370+G376</f>
        <v>11546.878163779944</v>
      </c>
      <c r="H367" s="93">
        <f>H369</f>
        <v>16540</v>
      </c>
      <c r="I367" s="93">
        <f>I369</f>
        <v>14060</v>
      </c>
      <c r="J367" s="93"/>
      <c r="K367" s="94">
        <f>K372+K378+K375</f>
        <v>10457.740000000002</v>
      </c>
    </row>
    <row r="368" spans="1:12" x14ac:dyDescent="0.25">
      <c r="A368" s="286"/>
      <c r="B368" s="71"/>
      <c r="C368" s="286"/>
      <c r="D368" s="286"/>
      <c r="E368" s="286"/>
      <c r="F368" s="72"/>
      <c r="G368" s="72"/>
      <c r="H368" s="72"/>
      <c r="I368" s="72"/>
      <c r="J368" s="72"/>
      <c r="K368" s="72"/>
    </row>
    <row r="369" spans="1:12" x14ac:dyDescent="0.25">
      <c r="A369" s="166">
        <v>3</v>
      </c>
      <c r="B369" s="166" t="s">
        <v>18</v>
      </c>
      <c r="C369" s="166"/>
      <c r="D369" s="166"/>
      <c r="E369" s="166"/>
      <c r="F369" s="79"/>
      <c r="G369" s="79">
        <f>G376+G370</f>
        <v>11546.878163779944</v>
      </c>
      <c r="H369" s="79">
        <f>H370+H376</f>
        <v>16540</v>
      </c>
      <c r="I369" s="79">
        <f>I370+I376</f>
        <v>14060</v>
      </c>
      <c r="J369" s="79"/>
      <c r="K369" s="79"/>
    </row>
    <row r="370" spans="1:12" x14ac:dyDescent="0.25">
      <c r="A370" s="166">
        <v>32</v>
      </c>
      <c r="B370" s="166" t="s">
        <v>155</v>
      </c>
      <c r="C370" s="166"/>
      <c r="D370" s="166"/>
      <c r="E370" s="166"/>
      <c r="F370" s="79">
        <f t="shared" ref="F370" si="47">F371</f>
        <v>37481.07</v>
      </c>
      <c r="G370" s="79">
        <f>G371+G374</f>
        <v>9954.2044628044314</v>
      </c>
      <c r="H370" s="79">
        <f>H371+H374</f>
        <v>14140</v>
      </c>
      <c r="I370" s="79">
        <f>I371+I374</f>
        <v>11660</v>
      </c>
      <c r="J370" s="79"/>
      <c r="K370" s="79"/>
    </row>
    <row r="371" spans="1:12" x14ac:dyDescent="0.25">
      <c r="A371" s="166">
        <v>323</v>
      </c>
      <c r="B371" s="166" t="s">
        <v>158</v>
      </c>
      <c r="C371" s="166"/>
      <c r="D371" s="166"/>
      <c r="E371" s="166"/>
      <c r="F371" s="79">
        <f>SUM(F372:F373)</f>
        <v>37481.07</v>
      </c>
      <c r="G371" s="79">
        <f>SUM(G372:G373)</f>
        <v>7299.7544628044325</v>
      </c>
      <c r="H371" s="79">
        <f>H372+H373</f>
        <v>11500</v>
      </c>
      <c r="I371" s="79">
        <f>I372+I373</f>
        <v>9500</v>
      </c>
      <c r="J371" s="79"/>
      <c r="K371" s="79"/>
    </row>
    <row r="372" spans="1:12" x14ac:dyDescent="0.25">
      <c r="A372" s="286">
        <v>3234</v>
      </c>
      <c r="B372" s="71" t="s">
        <v>531</v>
      </c>
      <c r="C372" s="286"/>
      <c r="D372" s="286"/>
      <c r="E372" s="286"/>
      <c r="F372" s="72">
        <v>37481.07</v>
      </c>
      <c r="G372" s="72">
        <f>45000/7.5345</f>
        <v>5972.5263786581718</v>
      </c>
      <c r="H372" s="72">
        <v>10000</v>
      </c>
      <c r="I372" s="72">
        <f>10000-2000</f>
        <v>8000</v>
      </c>
      <c r="J372" s="72"/>
      <c r="K372" s="72">
        <v>7108.61</v>
      </c>
    </row>
    <row r="373" spans="1:12" x14ac:dyDescent="0.25">
      <c r="A373" s="286">
        <v>3239</v>
      </c>
      <c r="B373" s="71" t="s">
        <v>342</v>
      </c>
      <c r="C373" s="286"/>
      <c r="D373" s="286"/>
      <c r="E373" s="286"/>
      <c r="F373" s="72"/>
      <c r="G373" s="72">
        <f>10000/7.5345</f>
        <v>1327.2280841462605</v>
      </c>
      <c r="H373" s="72">
        <v>1500</v>
      </c>
      <c r="I373" s="72">
        <v>1500</v>
      </c>
      <c r="J373" s="72"/>
      <c r="K373" s="72"/>
    </row>
    <row r="374" spans="1:12" x14ac:dyDescent="0.25">
      <c r="A374" s="166">
        <v>329</v>
      </c>
      <c r="B374" s="570" t="s">
        <v>175</v>
      </c>
      <c r="C374" s="570"/>
      <c r="D374" s="570"/>
      <c r="E374" s="570"/>
      <c r="F374" s="79"/>
      <c r="G374" s="79">
        <f>G375</f>
        <v>2654.45</v>
      </c>
      <c r="H374" s="79">
        <f>H375</f>
        <v>2640</v>
      </c>
      <c r="I374" s="79">
        <f>I375</f>
        <v>2160</v>
      </c>
      <c r="J374" s="79"/>
      <c r="K374" s="79"/>
    </row>
    <row r="375" spans="1:12" x14ac:dyDescent="0.25">
      <c r="A375" s="286">
        <v>3295</v>
      </c>
      <c r="B375" s="553" t="s">
        <v>339</v>
      </c>
      <c r="C375" s="553"/>
      <c r="D375" s="553"/>
      <c r="E375" s="553"/>
      <c r="F375" s="72"/>
      <c r="G375" s="72">
        <v>2654.45</v>
      </c>
      <c r="H375" s="72">
        <f>220*12</f>
        <v>2640</v>
      </c>
      <c r="I375" s="72">
        <f>180*12</f>
        <v>2160</v>
      </c>
      <c r="J375" s="72"/>
      <c r="K375" s="72">
        <v>1349.13</v>
      </c>
      <c r="L375" s="33" t="s">
        <v>752</v>
      </c>
    </row>
    <row r="376" spans="1:12" x14ac:dyDescent="0.25">
      <c r="A376" s="166">
        <v>36</v>
      </c>
      <c r="B376" s="166" t="s">
        <v>239</v>
      </c>
      <c r="C376" s="166"/>
      <c r="D376" s="166"/>
      <c r="E376" s="166"/>
      <c r="F376" s="79">
        <f t="shared" ref="F376:G377" si="48">F377</f>
        <v>11000</v>
      </c>
      <c r="G376" s="79">
        <f t="shared" si="48"/>
        <v>1592.6737009755125</v>
      </c>
      <c r="H376" s="79">
        <f>H377</f>
        <v>2400</v>
      </c>
      <c r="I376" s="79">
        <f>I377</f>
        <v>2400</v>
      </c>
      <c r="J376" s="79"/>
      <c r="K376" s="79"/>
    </row>
    <row r="377" spans="1:12" x14ac:dyDescent="0.25">
      <c r="A377" s="166">
        <v>363</v>
      </c>
      <c r="B377" s="166" t="s">
        <v>239</v>
      </c>
      <c r="C377" s="166"/>
      <c r="D377" s="166"/>
      <c r="E377" s="166"/>
      <c r="F377" s="79">
        <f t="shared" si="48"/>
        <v>11000</v>
      </c>
      <c r="G377" s="79">
        <f t="shared" si="48"/>
        <v>1592.6737009755125</v>
      </c>
      <c r="H377" s="79">
        <f>H378</f>
        <v>2400</v>
      </c>
      <c r="I377" s="79">
        <f>I378</f>
        <v>2400</v>
      </c>
      <c r="J377" s="79"/>
      <c r="K377" s="79"/>
    </row>
    <row r="378" spans="1:12" x14ac:dyDescent="0.25">
      <c r="A378" s="286">
        <v>3631</v>
      </c>
      <c r="B378" s="71" t="s">
        <v>260</v>
      </c>
      <c r="C378" s="286"/>
      <c r="D378" s="286"/>
      <c r="E378" s="286"/>
      <c r="F378" s="72">
        <v>11000</v>
      </c>
      <c r="G378" s="72">
        <f>12000/7.5345</f>
        <v>1592.6737009755125</v>
      </c>
      <c r="H378" s="72">
        <f>200*12</f>
        <v>2400</v>
      </c>
      <c r="I378" s="72">
        <f>200*12</f>
        <v>2400</v>
      </c>
      <c r="J378" s="72"/>
      <c r="K378" s="72">
        <v>2000</v>
      </c>
      <c r="L378" s="33" t="s">
        <v>477</v>
      </c>
    </row>
    <row r="379" spans="1:12" x14ac:dyDescent="0.25">
      <c r="A379" s="286"/>
      <c r="B379" s="71"/>
      <c r="C379" s="286"/>
      <c r="D379" s="286"/>
      <c r="E379" s="286"/>
      <c r="F379" s="72"/>
      <c r="G379" s="72"/>
      <c r="H379" s="72"/>
      <c r="I379" s="72"/>
      <c r="J379" s="72"/>
      <c r="K379" s="72"/>
    </row>
    <row r="380" spans="1:12" x14ac:dyDescent="0.25">
      <c r="A380" s="292" t="s">
        <v>439</v>
      </c>
      <c r="B380" s="292"/>
      <c r="C380" s="292"/>
      <c r="D380" s="292"/>
      <c r="E380" s="276"/>
      <c r="F380" s="276"/>
      <c r="G380" s="276"/>
      <c r="H380" s="276"/>
      <c r="I380" s="276"/>
      <c r="J380" s="276"/>
      <c r="K380" s="307"/>
      <c r="L380" s="265"/>
    </row>
    <row r="381" spans="1:12" x14ac:dyDescent="0.25">
      <c r="A381" s="96" t="s">
        <v>514</v>
      </c>
      <c r="B381" s="96"/>
      <c r="C381" s="96"/>
      <c r="D381" s="96"/>
      <c r="E381" s="96"/>
      <c r="F381" s="93" t="e">
        <f>F385+#REF!</f>
        <v>#REF!</v>
      </c>
      <c r="G381" s="587">
        <f>G384</f>
        <v>9821.4878226823275</v>
      </c>
      <c r="H381" s="155"/>
      <c r="I381" s="155"/>
      <c r="J381" s="155"/>
      <c r="K381" s="235"/>
    </row>
    <row r="382" spans="1:12" x14ac:dyDescent="0.25">
      <c r="A382" s="590" t="s">
        <v>261</v>
      </c>
      <c r="B382" s="590"/>
      <c r="C382" s="590"/>
      <c r="D382" s="590"/>
      <c r="E382" s="590"/>
      <c r="F382" s="93"/>
      <c r="G382" s="587"/>
      <c r="H382" s="155">
        <f>H384</f>
        <v>9600</v>
      </c>
      <c r="I382" s="155">
        <f>I384</f>
        <v>9230</v>
      </c>
      <c r="J382" s="155"/>
      <c r="K382" s="102">
        <f>K387+K390</f>
        <v>540.5</v>
      </c>
    </row>
    <row r="383" spans="1:12" x14ac:dyDescent="0.25">
      <c r="A383" s="294"/>
      <c r="B383" s="294"/>
      <c r="C383" s="294"/>
      <c r="D383" s="294"/>
      <c r="E383" s="294"/>
      <c r="F383" s="277"/>
      <c r="G383" s="277"/>
      <c r="H383" s="277"/>
      <c r="I383" s="277"/>
      <c r="J383" s="277"/>
      <c r="K383" s="277"/>
    </row>
    <row r="384" spans="1:12" x14ac:dyDescent="0.25">
      <c r="A384" s="303">
        <v>3</v>
      </c>
      <c r="B384" s="303" t="s">
        <v>18</v>
      </c>
      <c r="C384" s="303"/>
      <c r="D384" s="303"/>
      <c r="E384" s="303"/>
      <c r="F384" s="269"/>
      <c r="G384" s="269">
        <f>G385</f>
        <v>9821.4878226823275</v>
      </c>
      <c r="H384" s="269">
        <f>H385</f>
        <v>9600</v>
      </c>
      <c r="I384" s="269">
        <f>I385</f>
        <v>9230</v>
      </c>
      <c r="J384" s="269"/>
      <c r="K384" s="79"/>
    </row>
    <row r="385" spans="1:12" x14ac:dyDescent="0.25">
      <c r="A385" s="166">
        <v>32</v>
      </c>
      <c r="B385" s="166" t="s">
        <v>155</v>
      </c>
      <c r="C385" s="166"/>
      <c r="D385" s="166"/>
      <c r="E385" s="166"/>
      <c r="F385" s="79">
        <f t="shared" ref="F385:G385" si="49">F388</f>
        <v>26250</v>
      </c>
      <c r="G385" s="79">
        <f t="shared" si="49"/>
        <v>9821.4878226823275</v>
      </c>
      <c r="H385" s="79">
        <f>H386+H388</f>
        <v>9600</v>
      </c>
      <c r="I385" s="79">
        <f>I386+I388</f>
        <v>9230</v>
      </c>
      <c r="J385" s="79"/>
      <c r="K385" s="79"/>
    </row>
    <row r="386" spans="1:12" x14ac:dyDescent="0.25">
      <c r="A386" s="166">
        <v>322</v>
      </c>
      <c r="B386" s="287" t="s">
        <v>247</v>
      </c>
      <c r="C386" s="166"/>
      <c r="D386" s="166"/>
      <c r="E386" s="166"/>
      <c r="F386" s="79"/>
      <c r="G386" s="79"/>
      <c r="H386" s="79">
        <f>H387</f>
        <v>100</v>
      </c>
      <c r="I386" s="79">
        <f>I387</f>
        <v>100</v>
      </c>
      <c r="J386" s="79"/>
      <c r="K386" s="79"/>
    </row>
    <row r="387" spans="1:12" x14ac:dyDescent="0.25">
      <c r="A387" s="71">
        <v>322</v>
      </c>
      <c r="B387" s="280" t="s">
        <v>341</v>
      </c>
      <c r="C387" s="166"/>
      <c r="D387" s="166"/>
      <c r="E387" s="166"/>
      <c r="F387" s="79"/>
      <c r="G387" s="79"/>
      <c r="H387" s="72">
        <v>100</v>
      </c>
      <c r="I387" s="72">
        <v>100</v>
      </c>
      <c r="J387" s="72"/>
      <c r="K387" s="72">
        <v>18.5</v>
      </c>
    </row>
    <row r="388" spans="1:12" x14ac:dyDescent="0.25">
      <c r="A388" s="166">
        <v>323</v>
      </c>
      <c r="B388" s="166" t="s">
        <v>158</v>
      </c>
      <c r="C388" s="166"/>
      <c r="D388" s="166"/>
      <c r="E388" s="166"/>
      <c r="F388" s="79">
        <f>SUM(F389:F389)</f>
        <v>26250</v>
      </c>
      <c r="G388" s="79">
        <f>SUM(G389:G389)</f>
        <v>9821.4878226823275</v>
      </c>
      <c r="H388" s="79">
        <f>H389+H390</f>
        <v>9500</v>
      </c>
      <c r="I388" s="79">
        <f>I389+I390</f>
        <v>9130</v>
      </c>
      <c r="J388" s="79"/>
      <c r="K388" s="79"/>
    </row>
    <row r="389" spans="1:12" x14ac:dyDescent="0.25">
      <c r="A389" s="71">
        <v>3233</v>
      </c>
      <c r="B389" s="71" t="s">
        <v>347</v>
      </c>
      <c r="C389" s="71"/>
      <c r="D389" s="71"/>
      <c r="E389" s="71"/>
      <c r="F389" s="72">
        <f>16250+10000</f>
        <v>26250</v>
      </c>
      <c r="G389" s="72">
        <f>74000/7.5345</f>
        <v>9821.4878226823275</v>
      </c>
      <c r="H389" s="72">
        <v>8000</v>
      </c>
      <c r="I389" s="72">
        <v>8130</v>
      </c>
      <c r="J389" s="72"/>
      <c r="K389" s="72"/>
      <c r="L389" s="33">
        <f>2*4063</f>
        <v>8126</v>
      </c>
    </row>
    <row r="390" spans="1:12" x14ac:dyDescent="0.25">
      <c r="A390" s="71" t="s">
        <v>512</v>
      </c>
      <c r="B390" s="71"/>
      <c r="C390" s="71"/>
      <c r="D390" s="71"/>
      <c r="E390" s="71"/>
      <c r="F390" s="72"/>
      <c r="G390" s="72"/>
      <c r="H390" s="72">
        <v>1500</v>
      </c>
      <c r="I390" s="72">
        <v>1000</v>
      </c>
      <c r="J390" s="72"/>
      <c r="K390" s="72">
        <v>522</v>
      </c>
    </row>
    <row r="391" spans="1:12" x14ac:dyDescent="0.25">
      <c r="A391" s="71"/>
      <c r="B391" s="71"/>
      <c r="C391" s="71"/>
      <c r="D391" s="71"/>
      <c r="E391" s="71"/>
      <c r="F391" s="72"/>
      <c r="G391" s="72"/>
      <c r="H391" s="72"/>
      <c r="I391" s="72"/>
      <c r="J391" s="72"/>
      <c r="K391" s="72"/>
    </row>
    <row r="392" spans="1:12" x14ac:dyDescent="0.25">
      <c r="A392" s="292" t="s">
        <v>440</v>
      </c>
      <c r="B392" s="292"/>
      <c r="C392" s="292"/>
      <c r="D392" s="292"/>
      <c r="E392" s="276"/>
      <c r="F392" s="276"/>
      <c r="G392" s="276"/>
      <c r="H392" s="276"/>
      <c r="I392" s="276"/>
      <c r="J392" s="276"/>
      <c r="K392" s="307"/>
      <c r="L392" s="265"/>
    </row>
    <row r="393" spans="1:12" x14ac:dyDescent="0.25">
      <c r="A393" s="572" t="s">
        <v>262</v>
      </c>
      <c r="B393" s="572"/>
      <c r="C393" s="572"/>
      <c r="D393" s="572"/>
      <c r="E393" s="572"/>
      <c r="F393" s="93" t="e">
        <f>F401+#REF!</f>
        <v>#REF!</v>
      </c>
      <c r="G393" s="93">
        <f>G401</f>
        <v>663.62</v>
      </c>
      <c r="H393" s="93">
        <f>H395+H399</f>
        <v>1100</v>
      </c>
      <c r="I393" s="93"/>
      <c r="J393" s="93"/>
      <c r="K393" s="94">
        <f>K403</f>
        <v>875</v>
      </c>
    </row>
    <row r="394" spans="1:12" x14ac:dyDescent="0.25">
      <c r="A394" s="303"/>
      <c r="B394" s="303"/>
      <c r="C394" s="303"/>
      <c r="D394" s="303"/>
      <c r="E394" s="303"/>
      <c r="F394" s="269"/>
      <c r="G394" s="269"/>
      <c r="H394" s="269"/>
      <c r="I394" s="269"/>
      <c r="J394" s="269"/>
      <c r="K394" s="79"/>
    </row>
    <row r="395" spans="1:12" x14ac:dyDescent="0.25">
      <c r="A395" s="166">
        <v>3</v>
      </c>
      <c r="B395" s="166" t="s">
        <v>18</v>
      </c>
      <c r="C395" s="303"/>
      <c r="D395" s="303"/>
      <c r="E395" s="303"/>
      <c r="F395" s="269"/>
      <c r="G395" s="269"/>
      <c r="H395" s="269">
        <f>H396</f>
        <v>100</v>
      </c>
      <c r="I395" s="269"/>
      <c r="J395" s="269"/>
      <c r="K395" s="79"/>
    </row>
    <row r="396" spans="1:12" x14ac:dyDescent="0.25">
      <c r="A396" s="166">
        <v>32</v>
      </c>
      <c r="B396" s="166" t="s">
        <v>155</v>
      </c>
      <c r="C396" s="303"/>
      <c r="D396" s="303"/>
      <c r="E396" s="303"/>
      <c r="F396" s="269"/>
      <c r="G396" s="269"/>
      <c r="H396" s="269">
        <f>H397</f>
        <v>100</v>
      </c>
      <c r="I396" s="269"/>
      <c r="J396" s="269"/>
      <c r="K396" s="79"/>
    </row>
    <row r="397" spans="1:12" x14ac:dyDescent="0.25">
      <c r="A397" s="166">
        <v>323</v>
      </c>
      <c r="B397" s="166" t="s">
        <v>158</v>
      </c>
      <c r="C397" s="303"/>
      <c r="D397" s="303"/>
      <c r="E397" s="303"/>
      <c r="F397" s="269"/>
      <c r="G397" s="269"/>
      <c r="H397" s="269">
        <f>H398</f>
        <v>100</v>
      </c>
      <c r="I397" s="269"/>
      <c r="J397" s="269"/>
      <c r="K397" s="79"/>
    </row>
    <row r="398" spans="1:12" x14ac:dyDescent="0.25">
      <c r="A398" s="71">
        <v>3232</v>
      </c>
      <c r="B398" s="280" t="s">
        <v>515</v>
      </c>
      <c r="C398" s="303"/>
      <c r="D398" s="303"/>
      <c r="E398" s="303"/>
      <c r="F398" s="269"/>
      <c r="G398" s="269"/>
      <c r="H398" s="268">
        <v>100</v>
      </c>
      <c r="I398" s="268">
        <v>0</v>
      </c>
      <c r="J398" s="268"/>
      <c r="K398" s="72"/>
    </row>
    <row r="399" spans="1:12" x14ac:dyDescent="0.25">
      <c r="A399" s="166">
        <v>4</v>
      </c>
      <c r="B399" s="166" t="s">
        <v>5</v>
      </c>
      <c r="C399" s="303"/>
      <c r="D399" s="303"/>
      <c r="E399" s="303"/>
      <c r="F399" s="269"/>
      <c r="G399" s="269">
        <f>G400</f>
        <v>663.62</v>
      </c>
      <c r="H399" s="269">
        <f>H400</f>
        <v>1000</v>
      </c>
      <c r="I399" s="269"/>
      <c r="J399" s="269"/>
      <c r="K399" s="79"/>
    </row>
    <row r="400" spans="1:12" x14ac:dyDescent="0.25">
      <c r="A400" s="166">
        <v>42</v>
      </c>
      <c r="B400" s="591" t="s">
        <v>249</v>
      </c>
      <c r="C400" s="592"/>
      <c r="D400" s="592"/>
      <c r="E400" s="592"/>
      <c r="F400" s="269"/>
      <c r="G400" s="269">
        <f>G401</f>
        <v>663.62</v>
      </c>
      <c r="H400" s="269">
        <f>H401</f>
        <v>1000</v>
      </c>
      <c r="I400" s="269"/>
      <c r="J400" s="269"/>
      <c r="K400" s="79"/>
    </row>
    <row r="401" spans="1:14" x14ac:dyDescent="0.25">
      <c r="A401" s="166">
        <v>422</v>
      </c>
      <c r="B401" s="166" t="s">
        <v>168</v>
      </c>
      <c r="C401" s="166"/>
      <c r="D401" s="166"/>
      <c r="E401" s="166"/>
      <c r="F401" s="79">
        <f>SUM(F402:F403)</f>
        <v>6920</v>
      </c>
      <c r="G401" s="79">
        <f>SUM(G402:G403)</f>
        <v>663.62</v>
      </c>
      <c r="H401" s="79">
        <f>H402+H403</f>
        <v>1000</v>
      </c>
      <c r="I401" s="79"/>
      <c r="J401" s="79"/>
      <c r="K401" s="79"/>
    </row>
    <row r="402" spans="1:14" x14ac:dyDescent="0.25">
      <c r="A402" s="71">
        <v>4225</v>
      </c>
      <c r="B402" s="71" t="s">
        <v>380</v>
      </c>
      <c r="C402" s="71"/>
      <c r="D402" s="71"/>
      <c r="E402" s="71"/>
      <c r="F402" s="72"/>
      <c r="G402" s="72"/>
      <c r="H402" s="72">
        <v>500</v>
      </c>
      <c r="I402" s="72">
        <v>0</v>
      </c>
      <c r="J402" s="72"/>
      <c r="K402" s="72"/>
    </row>
    <row r="403" spans="1:14" x14ac:dyDescent="0.25">
      <c r="A403" s="71">
        <v>4223</v>
      </c>
      <c r="B403" s="71" t="s">
        <v>379</v>
      </c>
      <c r="C403" s="71"/>
      <c r="D403" s="71"/>
      <c r="E403" s="71"/>
      <c r="F403" s="72">
        <v>6920</v>
      </c>
      <c r="G403" s="72">
        <v>663.62</v>
      </c>
      <c r="H403" s="72">
        <v>500</v>
      </c>
      <c r="I403" s="72">
        <v>0</v>
      </c>
      <c r="J403" s="72"/>
      <c r="K403" s="72">
        <v>875</v>
      </c>
    </row>
    <row r="404" spans="1:14" x14ac:dyDescent="0.25">
      <c r="A404" s="286"/>
      <c r="B404" s="71"/>
      <c r="C404" s="71"/>
      <c r="D404" s="71"/>
      <c r="E404" s="71"/>
      <c r="F404" s="72"/>
      <c r="G404" s="72"/>
      <c r="H404" s="72"/>
      <c r="I404" s="72"/>
      <c r="J404" s="72"/>
      <c r="K404" s="72"/>
    </row>
    <row r="405" spans="1:14" x14ac:dyDescent="0.25">
      <c r="A405" s="81" t="s">
        <v>85</v>
      </c>
      <c r="B405" s="81"/>
      <c r="C405" s="81"/>
      <c r="D405" s="81"/>
      <c r="E405" s="81"/>
      <c r="F405" s="82">
        <f t="shared" ref="F405" si="50">F407</f>
        <v>23751.16</v>
      </c>
      <c r="G405" s="82">
        <f>G407</f>
        <v>9954.2060375605543</v>
      </c>
      <c r="H405" s="82">
        <f>H407</f>
        <v>14600</v>
      </c>
      <c r="I405" s="82">
        <f>I407</f>
        <v>15700</v>
      </c>
      <c r="J405" s="82"/>
      <c r="K405" s="79"/>
    </row>
    <row r="406" spans="1:14" x14ac:dyDescent="0.25">
      <c r="A406" s="292" t="s">
        <v>441</v>
      </c>
      <c r="B406" s="292"/>
      <c r="C406" s="292"/>
      <c r="D406" s="292"/>
      <c r="E406" s="276"/>
      <c r="F406" s="276"/>
      <c r="G406" s="276"/>
      <c r="H406" s="276"/>
      <c r="I406" s="276"/>
      <c r="J406" s="276"/>
      <c r="K406" s="307"/>
      <c r="L406" s="265"/>
    </row>
    <row r="407" spans="1:14" x14ac:dyDescent="0.25">
      <c r="A407" s="96" t="s">
        <v>115</v>
      </c>
      <c r="B407" s="96"/>
      <c r="C407" s="96"/>
      <c r="D407" s="96"/>
      <c r="E407" s="96"/>
      <c r="F407" s="93">
        <f t="shared" ref="F407" si="51">F410</f>
        <v>23751.16</v>
      </c>
      <c r="G407" s="93">
        <f>G409</f>
        <v>9954.2060375605543</v>
      </c>
      <c r="H407" s="93">
        <f>H409</f>
        <v>14600</v>
      </c>
      <c r="I407" s="93">
        <f>I409</f>
        <v>15700</v>
      </c>
      <c r="J407" s="93"/>
      <c r="K407" s="94">
        <f>SUM(K409:K419)</f>
        <v>9537.08</v>
      </c>
    </row>
    <row r="408" spans="1:14" x14ac:dyDescent="0.25">
      <c r="A408" s="294"/>
      <c r="B408" s="294"/>
      <c r="C408" s="294"/>
      <c r="D408" s="294"/>
      <c r="E408" s="294"/>
      <c r="F408" s="72"/>
      <c r="G408" s="72"/>
      <c r="H408" s="72"/>
      <c r="I408" s="72"/>
      <c r="J408" s="72"/>
      <c r="K408" s="72"/>
    </row>
    <row r="409" spans="1:14" x14ac:dyDescent="0.25">
      <c r="A409" s="166">
        <v>3</v>
      </c>
      <c r="B409" s="166" t="s">
        <v>18</v>
      </c>
      <c r="C409" s="166"/>
      <c r="D409" s="166"/>
      <c r="E409" s="166"/>
      <c r="F409" s="72"/>
      <c r="G409" s="79">
        <f>G410+G417</f>
        <v>9954.2060375605543</v>
      </c>
      <c r="H409" s="79">
        <f>H410+H417</f>
        <v>14600</v>
      </c>
      <c r="I409" s="79">
        <f>I410+I417</f>
        <v>15700</v>
      </c>
      <c r="J409" s="79"/>
      <c r="K409" s="79"/>
      <c r="L409" s="64" t="s">
        <v>476</v>
      </c>
      <c r="M409" s="33">
        <f>2503*2</f>
        <v>5006</v>
      </c>
    </row>
    <row r="410" spans="1:14" x14ac:dyDescent="0.25">
      <c r="A410" s="166">
        <v>32</v>
      </c>
      <c r="B410" s="166" t="s">
        <v>155</v>
      </c>
      <c r="C410" s="166"/>
      <c r="D410" s="166"/>
      <c r="E410" s="166"/>
      <c r="F410" s="79">
        <f>SUM(F412:F415)</f>
        <v>23751.16</v>
      </c>
      <c r="G410" s="79">
        <f>SUM(G412:G415)</f>
        <v>9556.0360375605542</v>
      </c>
      <c r="H410" s="79">
        <f>H411</f>
        <v>14300</v>
      </c>
      <c r="I410" s="79">
        <f>I411</f>
        <v>15400</v>
      </c>
      <c r="J410" s="79"/>
      <c r="K410" s="79"/>
      <c r="L410" s="64" t="s">
        <v>474</v>
      </c>
      <c r="M410" s="33">
        <f>1570*2</f>
        <v>3140</v>
      </c>
    </row>
    <row r="411" spans="1:14" x14ac:dyDescent="0.25">
      <c r="A411" s="166">
        <v>323</v>
      </c>
      <c r="B411" s="166" t="s">
        <v>158</v>
      </c>
      <c r="C411" s="166"/>
      <c r="D411" s="166"/>
      <c r="E411" s="166"/>
      <c r="F411" s="79">
        <f>SUM(F412:F415)</f>
        <v>23751.16</v>
      </c>
      <c r="G411" s="79">
        <f>SUM(G412:G415)</f>
        <v>9556.0360375605542</v>
      </c>
      <c r="H411" s="79">
        <f>H412+H413+H414+H415+H416</f>
        <v>14300</v>
      </c>
      <c r="I411" s="79">
        <f>I412+I413+I414+I415+I416</f>
        <v>15400</v>
      </c>
      <c r="J411" s="79"/>
      <c r="K411" s="79"/>
      <c r="L411" s="64" t="s">
        <v>475</v>
      </c>
      <c r="M411" s="33">
        <v>200</v>
      </c>
    </row>
    <row r="412" spans="1:14" x14ac:dyDescent="0.25">
      <c r="A412" s="286">
        <v>3234</v>
      </c>
      <c r="B412" s="71" t="s">
        <v>343</v>
      </c>
      <c r="C412" s="286"/>
      <c r="D412" s="286"/>
      <c r="E412" s="286"/>
      <c r="F412" s="72">
        <v>14118.75</v>
      </c>
      <c r="G412" s="72">
        <f>40000/7.5345</f>
        <v>5308.9123365850419</v>
      </c>
      <c r="H412" s="72">
        <v>8300</v>
      </c>
      <c r="I412" s="72">
        <v>8500</v>
      </c>
      <c r="J412" s="72"/>
      <c r="K412" s="72">
        <v>5783.91</v>
      </c>
    </row>
    <row r="413" spans="1:14" x14ac:dyDescent="0.25">
      <c r="A413" s="71">
        <v>3234</v>
      </c>
      <c r="B413" s="71" t="s">
        <v>263</v>
      </c>
      <c r="C413" s="71"/>
      <c r="D413" s="71"/>
      <c r="E413" s="71"/>
      <c r="F413" s="72">
        <v>882.41</v>
      </c>
      <c r="G413" s="72">
        <f>2000/7.5345</f>
        <v>265.44561682925212</v>
      </c>
      <c r="H413" s="72">
        <f>150*2</f>
        <v>300</v>
      </c>
      <c r="I413" s="72">
        <v>400</v>
      </c>
      <c r="J413" s="72"/>
      <c r="K413" s="72"/>
      <c r="L413" s="33">
        <f>157*2</f>
        <v>314</v>
      </c>
    </row>
    <row r="414" spans="1:14" x14ac:dyDescent="0.25">
      <c r="A414" s="286">
        <v>3236</v>
      </c>
      <c r="B414" s="555" t="s">
        <v>265</v>
      </c>
      <c r="C414" s="555"/>
      <c r="D414" s="555"/>
      <c r="E414" s="555"/>
      <c r="F414" s="72"/>
      <c r="G414" s="72">
        <f>10000/7.5345</f>
        <v>1327.2280841462605</v>
      </c>
      <c r="H414" s="72">
        <v>400</v>
      </c>
      <c r="I414" s="72">
        <v>500</v>
      </c>
      <c r="J414" s="72"/>
      <c r="K414" s="72">
        <v>241.15</v>
      </c>
    </row>
    <row r="415" spans="1:14" x14ac:dyDescent="0.25">
      <c r="A415" s="286">
        <v>3236</v>
      </c>
      <c r="B415" s="71" t="s">
        <v>382</v>
      </c>
      <c r="C415" s="286"/>
      <c r="D415" s="286"/>
      <c r="E415" s="286"/>
      <c r="F415" s="72">
        <f>6250+2500</f>
        <v>8750</v>
      </c>
      <c r="G415" s="72">
        <v>2654.45</v>
      </c>
      <c r="H415" s="72">
        <v>4900</v>
      </c>
      <c r="I415" s="72">
        <v>5000</v>
      </c>
      <c r="J415" s="72"/>
      <c r="K415" s="72">
        <f>1687.5+982.05+115.63</f>
        <v>2785.1800000000003</v>
      </c>
      <c r="L415" s="33" t="s">
        <v>749</v>
      </c>
      <c r="N415" s="33" t="s">
        <v>750</v>
      </c>
    </row>
    <row r="416" spans="1:14" x14ac:dyDescent="0.25">
      <c r="A416" s="286"/>
      <c r="B416" s="71" t="s">
        <v>381</v>
      </c>
      <c r="C416" s="286"/>
      <c r="D416" s="286"/>
      <c r="E416" s="286"/>
      <c r="F416" s="72"/>
      <c r="G416" s="72"/>
      <c r="H416" s="72">
        <v>400</v>
      </c>
      <c r="I416" s="72">
        <v>1000</v>
      </c>
      <c r="J416" s="72"/>
      <c r="K416" s="72">
        <v>687</v>
      </c>
      <c r="L416" s="33" t="s">
        <v>748</v>
      </c>
    </row>
    <row r="417" spans="1:15" x14ac:dyDescent="0.25">
      <c r="A417" s="166">
        <v>35</v>
      </c>
      <c r="B417" s="570" t="s">
        <v>266</v>
      </c>
      <c r="C417" s="570"/>
      <c r="D417" s="570"/>
      <c r="E417" s="570"/>
      <c r="F417" s="79"/>
      <c r="G417" s="79">
        <f t="shared" ref="G417:I418" si="52">G418</f>
        <v>398.17</v>
      </c>
      <c r="H417" s="79">
        <f t="shared" si="52"/>
        <v>300</v>
      </c>
      <c r="I417" s="79">
        <f t="shared" si="52"/>
        <v>300</v>
      </c>
      <c r="J417" s="79"/>
      <c r="K417" s="79"/>
    </row>
    <row r="418" spans="1:15" x14ac:dyDescent="0.25">
      <c r="A418" s="166">
        <v>352</v>
      </c>
      <c r="B418" s="570" t="s">
        <v>267</v>
      </c>
      <c r="C418" s="570"/>
      <c r="D418" s="570"/>
      <c r="E418" s="570"/>
      <c r="F418" s="79"/>
      <c r="G418" s="79">
        <f t="shared" si="52"/>
        <v>398.17</v>
      </c>
      <c r="H418" s="79">
        <f t="shared" si="52"/>
        <v>300</v>
      </c>
      <c r="I418" s="79">
        <f t="shared" si="52"/>
        <v>300</v>
      </c>
      <c r="J418" s="79"/>
      <c r="K418" s="79"/>
    </row>
    <row r="419" spans="1:15" x14ac:dyDescent="0.25">
      <c r="A419" s="71">
        <v>3523</v>
      </c>
      <c r="B419" s="71" t="s">
        <v>264</v>
      </c>
      <c r="C419" s="286"/>
      <c r="D419" s="286"/>
      <c r="E419" s="280"/>
      <c r="F419" s="72"/>
      <c r="G419" s="72">
        <v>398.17</v>
      </c>
      <c r="H419" s="72">
        <v>300</v>
      </c>
      <c r="I419" s="72">
        <v>300</v>
      </c>
      <c r="J419" s="72"/>
      <c r="K419" s="72">
        <v>39.840000000000003</v>
      </c>
    </row>
    <row r="420" spans="1:15" x14ac:dyDescent="0.25">
      <c r="A420" s="286"/>
      <c r="B420" s="71"/>
      <c r="C420" s="71"/>
      <c r="D420" s="71"/>
      <c r="E420" s="71"/>
      <c r="F420" s="72"/>
      <c r="G420" s="72"/>
      <c r="H420" s="72"/>
      <c r="I420" s="72"/>
      <c r="J420" s="72"/>
      <c r="K420" s="72"/>
    </row>
    <row r="421" spans="1:15" x14ac:dyDescent="0.25">
      <c r="A421" s="81" t="s">
        <v>384</v>
      </c>
      <c r="B421" s="81"/>
      <c r="C421" s="81"/>
      <c r="D421" s="81"/>
      <c r="E421" s="81"/>
      <c r="F421" s="82" t="e">
        <f>F431+#REF!</f>
        <v>#REF!</v>
      </c>
      <c r="G421" s="82" t="e">
        <f>G431+#REF!+#REF!+#REF!+G423+#REF!</f>
        <v>#REF!</v>
      </c>
      <c r="H421" s="82">
        <f>H423+H431+H444+H453+H462</f>
        <v>101500</v>
      </c>
      <c r="I421" s="82">
        <f>I423+I432+I444+I454+I463</f>
        <v>77500</v>
      </c>
      <c r="J421" s="82"/>
      <c r="K421" s="79"/>
    </row>
    <row r="422" spans="1:15" x14ac:dyDescent="0.25">
      <c r="A422" s="292" t="s">
        <v>431</v>
      </c>
      <c r="B422" s="292"/>
      <c r="C422" s="292"/>
      <c r="D422" s="292"/>
      <c r="E422" s="276"/>
      <c r="F422" s="276"/>
      <c r="G422" s="276"/>
      <c r="H422" s="276"/>
      <c r="I422" s="276"/>
      <c r="J422" s="276"/>
      <c r="K422" s="307"/>
      <c r="L422" s="265"/>
    </row>
    <row r="423" spans="1:15" ht="29.25" customHeight="1" x14ac:dyDescent="0.25">
      <c r="A423" s="593" t="s">
        <v>344</v>
      </c>
      <c r="B423" s="593"/>
      <c r="C423" s="593"/>
      <c r="D423" s="593"/>
      <c r="E423" s="593"/>
      <c r="F423" s="302"/>
      <c r="G423" s="94">
        <f>G425</f>
        <v>19908.421262193908</v>
      </c>
      <c r="H423" s="94">
        <f>H425</f>
        <v>35000</v>
      </c>
      <c r="I423" s="94">
        <f>I425</f>
        <v>25000</v>
      </c>
      <c r="J423" s="94"/>
      <c r="K423" s="94"/>
    </row>
    <row r="424" spans="1:15" x14ac:dyDescent="0.25">
      <c r="A424" s="589"/>
      <c r="B424" s="589"/>
      <c r="C424" s="589"/>
      <c r="D424" s="589"/>
      <c r="E424" s="589"/>
      <c r="F424" s="72"/>
      <c r="G424" s="72"/>
      <c r="H424" s="72"/>
      <c r="I424" s="72"/>
      <c r="J424" s="72"/>
      <c r="K424" s="72"/>
    </row>
    <row r="425" spans="1:15" x14ac:dyDescent="0.25">
      <c r="A425" s="166">
        <v>4</v>
      </c>
      <c r="B425" s="166" t="s">
        <v>5</v>
      </c>
      <c r="C425" s="166"/>
      <c r="D425" s="166"/>
      <c r="E425" s="166"/>
      <c r="F425" s="72"/>
      <c r="G425" s="79">
        <f t="shared" ref="G425:H427" si="53">G426</f>
        <v>19908.421262193908</v>
      </c>
      <c r="H425" s="79">
        <f t="shared" si="53"/>
        <v>35000</v>
      </c>
      <c r="I425" s="79">
        <f>I426</f>
        <v>25000</v>
      </c>
      <c r="J425" s="79"/>
      <c r="K425" s="79"/>
    </row>
    <row r="426" spans="1:15" x14ac:dyDescent="0.25">
      <c r="A426" s="166">
        <v>42</v>
      </c>
      <c r="B426" s="166" t="s">
        <v>273</v>
      </c>
      <c r="C426" s="166"/>
      <c r="D426" s="166"/>
      <c r="E426" s="166"/>
      <c r="F426" s="72"/>
      <c r="G426" s="79">
        <f t="shared" si="53"/>
        <v>19908.421262193908</v>
      </c>
      <c r="H426" s="79">
        <f t="shared" si="53"/>
        <v>35000</v>
      </c>
      <c r="I426" s="79">
        <f>I427</f>
        <v>25000</v>
      </c>
      <c r="J426" s="79"/>
      <c r="K426" s="79"/>
    </row>
    <row r="427" spans="1:15" x14ac:dyDescent="0.25">
      <c r="A427" s="166">
        <v>421</v>
      </c>
      <c r="B427" s="570" t="s">
        <v>167</v>
      </c>
      <c r="C427" s="570"/>
      <c r="D427" s="570"/>
      <c r="E427" s="570"/>
      <c r="F427" s="72"/>
      <c r="G427" s="79">
        <f t="shared" si="53"/>
        <v>19908.421262193908</v>
      </c>
      <c r="H427" s="79">
        <f t="shared" si="53"/>
        <v>35000</v>
      </c>
      <c r="I427" s="79">
        <f>I428</f>
        <v>25000</v>
      </c>
      <c r="J427" s="79"/>
      <c r="K427" s="79"/>
    </row>
    <row r="428" spans="1:15" x14ac:dyDescent="0.25">
      <c r="A428" s="286">
        <v>4214</v>
      </c>
      <c r="B428" s="553" t="s">
        <v>345</v>
      </c>
      <c r="C428" s="553"/>
      <c r="D428" s="553"/>
      <c r="E428" s="553"/>
      <c r="F428" s="72"/>
      <c r="G428" s="72">
        <f>150000/7.5345</f>
        <v>19908.421262193908</v>
      </c>
      <c r="H428" s="72">
        <v>35000</v>
      </c>
      <c r="I428" s="72">
        <v>25000</v>
      </c>
      <c r="J428" s="72"/>
      <c r="K428" s="72"/>
      <c r="M428" s="33" t="s">
        <v>519</v>
      </c>
      <c r="O428" s="33" t="s">
        <v>520</v>
      </c>
    </row>
    <row r="429" spans="1:15" x14ac:dyDescent="0.25">
      <c r="A429" s="286"/>
      <c r="B429" s="280"/>
      <c r="C429" s="280"/>
      <c r="D429" s="280"/>
      <c r="E429" s="280"/>
      <c r="F429" s="72"/>
      <c r="G429" s="72"/>
      <c r="H429" s="72"/>
      <c r="I429" s="72"/>
      <c r="J429" s="72"/>
      <c r="K429" s="72"/>
    </row>
    <row r="430" spans="1:15" x14ac:dyDescent="0.25">
      <c r="A430" s="292" t="s">
        <v>431</v>
      </c>
      <c r="B430" s="292"/>
      <c r="C430" s="292"/>
      <c r="D430" s="292"/>
      <c r="E430" s="276"/>
      <c r="F430" s="276"/>
      <c r="G430" s="276"/>
      <c r="H430" s="276"/>
      <c r="I430" s="276"/>
      <c r="J430" s="276"/>
      <c r="K430" s="307"/>
      <c r="L430" s="265"/>
    </row>
    <row r="431" spans="1:15" x14ac:dyDescent="0.25">
      <c r="A431" s="96" t="s">
        <v>506</v>
      </c>
      <c r="B431" s="96"/>
      <c r="C431" s="96"/>
      <c r="D431" s="96"/>
      <c r="E431" s="96"/>
      <c r="F431" s="93">
        <f t="shared" ref="F431" si="54">F435</f>
        <v>8460</v>
      </c>
      <c r="G431" s="587">
        <f>G435+G438</f>
        <v>17917.579135974516</v>
      </c>
      <c r="H431" s="587">
        <f>H434+H438</f>
        <v>13500</v>
      </c>
      <c r="I431" s="155"/>
      <c r="J431" s="155"/>
      <c r="K431" s="235"/>
    </row>
    <row r="432" spans="1:15" x14ac:dyDescent="0.25">
      <c r="A432" s="590" t="s">
        <v>507</v>
      </c>
      <c r="B432" s="590"/>
      <c r="C432" s="590"/>
      <c r="D432" s="590"/>
      <c r="E432" s="590"/>
      <c r="F432" s="289"/>
      <c r="G432" s="587"/>
      <c r="H432" s="587"/>
      <c r="I432" s="155">
        <f>I434+I438</f>
        <v>14500</v>
      </c>
      <c r="J432" s="155"/>
      <c r="K432" s="102">
        <f>K437</f>
        <v>1511.1100000000001</v>
      </c>
    </row>
    <row r="433" spans="1:12" x14ac:dyDescent="0.25">
      <c r="A433" s="286"/>
      <c r="B433" s="71"/>
      <c r="C433" s="71"/>
      <c r="D433" s="71"/>
      <c r="E433" s="71"/>
      <c r="F433" s="72"/>
      <c r="G433" s="72"/>
      <c r="H433" s="72"/>
      <c r="I433" s="72"/>
      <c r="J433" s="72"/>
      <c r="K433" s="72"/>
    </row>
    <row r="434" spans="1:12" x14ac:dyDescent="0.25">
      <c r="A434" s="166">
        <v>3</v>
      </c>
      <c r="B434" s="166" t="s">
        <v>18</v>
      </c>
      <c r="C434" s="166"/>
      <c r="D434" s="166"/>
      <c r="E434" s="166"/>
      <c r="F434" s="79"/>
      <c r="G434" s="79">
        <f t="shared" ref="G434:I435" si="55">G435</f>
        <v>1327.2280841462605</v>
      </c>
      <c r="H434" s="79">
        <f t="shared" si="55"/>
        <v>1500</v>
      </c>
      <c r="I434" s="79">
        <f t="shared" si="55"/>
        <v>2500</v>
      </c>
      <c r="J434" s="79"/>
      <c r="K434" s="79"/>
    </row>
    <row r="435" spans="1:12" x14ac:dyDescent="0.25">
      <c r="A435" s="166">
        <v>32</v>
      </c>
      <c r="B435" s="166" t="s">
        <v>155</v>
      </c>
      <c r="C435" s="166"/>
      <c r="D435" s="166"/>
      <c r="E435" s="166"/>
      <c r="F435" s="79">
        <f t="shared" ref="F435" si="56">F436</f>
        <v>8460</v>
      </c>
      <c r="G435" s="79">
        <f t="shared" si="55"/>
        <v>1327.2280841462605</v>
      </c>
      <c r="H435" s="79">
        <f t="shared" si="55"/>
        <v>1500</v>
      </c>
      <c r="I435" s="79">
        <f t="shared" si="55"/>
        <v>2500</v>
      </c>
      <c r="J435" s="79"/>
      <c r="K435" s="79"/>
    </row>
    <row r="436" spans="1:12" x14ac:dyDescent="0.25">
      <c r="A436" s="166">
        <v>323</v>
      </c>
      <c r="B436" s="166" t="s">
        <v>158</v>
      </c>
      <c r="C436" s="166"/>
      <c r="D436" s="166"/>
      <c r="E436" s="166"/>
      <c r="F436" s="79">
        <f>SUM(F437:F437)</f>
        <v>8460</v>
      </c>
      <c r="G436" s="79">
        <f>SUM(G437:G437)</f>
        <v>1327.2280841462605</v>
      </c>
      <c r="H436" s="79">
        <f>H437</f>
        <v>1500</v>
      </c>
      <c r="I436" s="79">
        <f>I437</f>
        <v>2500</v>
      </c>
      <c r="J436" s="79"/>
      <c r="K436" s="79"/>
    </row>
    <row r="437" spans="1:12" x14ac:dyDescent="0.25">
      <c r="A437" s="286">
        <v>3232</v>
      </c>
      <c r="B437" s="71" t="s">
        <v>839</v>
      </c>
      <c r="C437" s="71"/>
      <c r="D437" s="71"/>
      <c r="E437" s="71"/>
      <c r="F437" s="72">
        <v>8460</v>
      </c>
      <c r="G437" s="72">
        <f>10000/7.5345</f>
        <v>1327.2280841462605</v>
      </c>
      <c r="H437" s="72">
        <v>1500</v>
      </c>
      <c r="I437" s="72">
        <v>2500</v>
      </c>
      <c r="J437" s="72"/>
      <c r="K437" s="72">
        <f>270.18+189.05+938.38+113.5</f>
        <v>1511.1100000000001</v>
      </c>
    </row>
    <row r="438" spans="1:12" x14ac:dyDescent="0.25">
      <c r="A438" s="166">
        <v>4</v>
      </c>
      <c r="B438" s="166" t="s">
        <v>223</v>
      </c>
      <c r="C438" s="166"/>
      <c r="D438" s="166"/>
      <c r="E438" s="166"/>
      <c r="F438" s="72"/>
      <c r="G438" s="79">
        <f t="shared" ref="G438:G440" si="57">G439</f>
        <v>16590.351051828256</v>
      </c>
      <c r="H438" s="79">
        <f t="shared" ref="H438:I440" si="58">H439</f>
        <v>12000</v>
      </c>
      <c r="I438" s="79">
        <f t="shared" si="58"/>
        <v>12000</v>
      </c>
      <c r="J438" s="79"/>
      <c r="K438" s="79"/>
    </row>
    <row r="439" spans="1:12" x14ac:dyDescent="0.25">
      <c r="A439" s="166">
        <v>45</v>
      </c>
      <c r="B439" s="588" t="s">
        <v>269</v>
      </c>
      <c r="C439" s="588"/>
      <c r="D439" s="588"/>
      <c r="E439" s="588"/>
      <c r="F439" s="72"/>
      <c r="G439" s="79">
        <f t="shared" si="57"/>
        <v>16590.351051828256</v>
      </c>
      <c r="H439" s="79">
        <f t="shared" si="58"/>
        <v>12000</v>
      </c>
      <c r="I439" s="79">
        <f t="shared" si="58"/>
        <v>12000</v>
      </c>
      <c r="J439" s="79"/>
      <c r="K439" s="79"/>
    </row>
    <row r="440" spans="1:12" x14ac:dyDescent="0.25">
      <c r="A440" s="166">
        <v>451</v>
      </c>
      <c r="B440" s="166" t="s">
        <v>270</v>
      </c>
      <c r="C440" s="166"/>
      <c r="D440" s="166"/>
      <c r="E440" s="166"/>
      <c r="F440" s="72"/>
      <c r="G440" s="79">
        <f t="shared" si="57"/>
        <v>16590.351051828256</v>
      </c>
      <c r="H440" s="79">
        <f t="shared" si="58"/>
        <v>12000</v>
      </c>
      <c r="I440" s="79">
        <f t="shared" si="58"/>
        <v>12000</v>
      </c>
      <c r="J440" s="79"/>
      <c r="K440" s="79"/>
    </row>
    <row r="441" spans="1:12" x14ac:dyDescent="0.25">
      <c r="A441" s="71">
        <v>4511</v>
      </c>
      <c r="B441" s="71" t="s">
        <v>528</v>
      </c>
      <c r="C441" s="71"/>
      <c r="D441" s="71"/>
      <c r="E441" s="71"/>
      <c r="F441" s="72"/>
      <c r="G441" s="72">
        <f>125000/7.5345</f>
        <v>16590.351051828256</v>
      </c>
      <c r="H441" s="72">
        <v>12000</v>
      </c>
      <c r="I441" s="72">
        <v>12000</v>
      </c>
      <c r="J441" s="72"/>
      <c r="K441" s="72"/>
      <c r="L441" s="33" t="s">
        <v>828</v>
      </c>
    </row>
    <row r="442" spans="1:12" x14ac:dyDescent="0.25">
      <c r="A442" s="71"/>
      <c r="B442" s="71"/>
      <c r="C442" s="71"/>
      <c r="D442" s="71"/>
      <c r="E442" s="71"/>
      <c r="F442" s="72"/>
      <c r="G442" s="72"/>
      <c r="H442" s="72"/>
      <c r="I442" s="72"/>
      <c r="J442" s="72"/>
      <c r="K442" s="72"/>
    </row>
    <row r="443" spans="1:12" x14ac:dyDescent="0.25">
      <c r="A443" s="292" t="s">
        <v>431</v>
      </c>
      <c r="B443" s="292"/>
      <c r="C443" s="292"/>
      <c r="D443" s="292"/>
      <c r="E443" s="276"/>
      <c r="F443" s="276"/>
      <c r="G443" s="276"/>
      <c r="H443" s="276"/>
      <c r="I443" s="276"/>
      <c r="J443" s="276"/>
      <c r="K443" s="307"/>
      <c r="L443" s="265"/>
    </row>
    <row r="444" spans="1:12" x14ac:dyDescent="0.25">
      <c r="A444" s="310" t="s">
        <v>505</v>
      </c>
      <c r="B444" s="310"/>
      <c r="C444" s="310"/>
      <c r="D444" s="310"/>
      <c r="E444" s="310"/>
      <c r="F444" s="302"/>
      <c r="G444" s="302"/>
      <c r="H444" s="94">
        <f>H446</f>
        <v>8000</v>
      </c>
      <c r="I444" s="94">
        <f>I446</f>
        <v>8000</v>
      </c>
      <c r="J444" s="94"/>
      <c r="K444" s="94">
        <f>K449+K451</f>
        <v>8904</v>
      </c>
    </row>
    <row r="445" spans="1:12" x14ac:dyDescent="0.25">
      <c r="A445" s="281"/>
      <c r="B445" s="281"/>
      <c r="C445" s="281"/>
      <c r="D445" s="281"/>
      <c r="E445" s="281"/>
      <c r="F445" s="268"/>
      <c r="G445" s="268"/>
      <c r="H445" s="268"/>
      <c r="I445" s="268"/>
      <c r="J445" s="268"/>
      <c r="K445" s="72"/>
    </row>
    <row r="446" spans="1:12" x14ac:dyDescent="0.25">
      <c r="A446" s="303">
        <v>3</v>
      </c>
      <c r="B446" s="303" t="s">
        <v>18</v>
      </c>
      <c r="C446" s="281"/>
      <c r="D446" s="281"/>
      <c r="E446" s="281"/>
      <c r="F446" s="268"/>
      <c r="G446" s="268"/>
      <c r="H446" s="269">
        <f>H447</f>
        <v>8000</v>
      </c>
      <c r="I446" s="269">
        <f>I447</f>
        <v>8000</v>
      </c>
      <c r="J446" s="269"/>
      <c r="K446" s="79"/>
    </row>
    <row r="447" spans="1:12" x14ac:dyDescent="0.25">
      <c r="A447" s="166">
        <v>32</v>
      </c>
      <c r="B447" s="166" t="s">
        <v>155</v>
      </c>
      <c r="C447" s="281"/>
      <c r="D447" s="281"/>
      <c r="E447" s="281"/>
      <c r="F447" s="268"/>
      <c r="G447" s="268"/>
      <c r="H447" s="269">
        <f>H448+H450</f>
        <v>8000</v>
      </c>
      <c r="I447" s="269">
        <f>I448+I450</f>
        <v>8000</v>
      </c>
      <c r="J447" s="269"/>
      <c r="K447" s="79"/>
    </row>
    <row r="448" spans="1:12" x14ac:dyDescent="0.25">
      <c r="A448" s="166">
        <v>322</v>
      </c>
      <c r="B448" s="166" t="s">
        <v>157</v>
      </c>
      <c r="C448" s="281"/>
      <c r="D448" s="281"/>
      <c r="E448" s="281"/>
      <c r="F448" s="268"/>
      <c r="G448" s="268"/>
      <c r="H448" s="269">
        <f>H449</f>
        <v>4000</v>
      </c>
      <c r="I448" s="269">
        <f>I449</f>
        <v>4000</v>
      </c>
      <c r="J448" s="269"/>
      <c r="K448" s="79"/>
    </row>
    <row r="449" spans="1:19" x14ac:dyDescent="0.25">
      <c r="A449" s="281" t="s">
        <v>535</v>
      </c>
      <c r="B449" s="281"/>
      <c r="C449" s="281"/>
      <c r="D449" s="281"/>
      <c r="E449" s="281"/>
      <c r="F449" s="268"/>
      <c r="G449" s="268"/>
      <c r="H449" s="268">
        <v>4000</v>
      </c>
      <c r="I449" s="268">
        <v>4000</v>
      </c>
      <c r="J449" s="268"/>
      <c r="K449" s="72">
        <v>1072.9100000000001</v>
      </c>
      <c r="L449" s="33" t="s">
        <v>808</v>
      </c>
    </row>
    <row r="450" spans="1:19" x14ac:dyDescent="0.25">
      <c r="A450" s="166">
        <v>323</v>
      </c>
      <c r="B450" s="166" t="s">
        <v>158</v>
      </c>
      <c r="C450" s="166"/>
      <c r="D450" s="281"/>
      <c r="E450" s="281"/>
      <c r="F450" s="268"/>
      <c r="G450" s="268"/>
      <c r="H450" s="269">
        <f>H451</f>
        <v>4000</v>
      </c>
      <c r="I450" s="269">
        <f>I451</f>
        <v>4000</v>
      </c>
      <c r="J450" s="269"/>
      <c r="K450" s="79"/>
    </row>
    <row r="451" spans="1:19" x14ac:dyDescent="0.25">
      <c r="A451" s="281" t="s">
        <v>534</v>
      </c>
      <c r="B451" s="281"/>
      <c r="C451" s="281"/>
      <c r="D451" s="281"/>
      <c r="E451" s="281"/>
      <c r="F451" s="268"/>
      <c r="G451" s="268"/>
      <c r="H451" s="268">
        <v>4000</v>
      </c>
      <c r="I451" s="268">
        <v>4000</v>
      </c>
      <c r="J451" s="268"/>
      <c r="K451" s="72">
        <v>7831.09</v>
      </c>
      <c r="L451" s="33" t="s">
        <v>809</v>
      </c>
    </row>
    <row r="452" spans="1:19" x14ac:dyDescent="0.25">
      <c r="A452" s="71"/>
      <c r="B452" s="280"/>
      <c r="C452" s="280"/>
      <c r="D452" s="280"/>
      <c r="E452" s="280"/>
      <c r="F452" s="268"/>
      <c r="G452" s="268"/>
      <c r="H452" s="268"/>
      <c r="I452" s="268"/>
      <c r="J452" s="268"/>
      <c r="K452" s="72"/>
    </row>
    <row r="453" spans="1:19" x14ac:dyDescent="0.25">
      <c r="A453" s="573" t="s">
        <v>462</v>
      </c>
      <c r="B453" s="573"/>
      <c r="C453" s="573"/>
      <c r="D453" s="573"/>
      <c r="E453" s="573"/>
      <c r="F453" s="289"/>
      <c r="G453" s="587">
        <f>G458</f>
        <v>0</v>
      </c>
      <c r="H453" s="587">
        <f t="shared" ref="H453" si="59">H458</f>
        <v>35000</v>
      </c>
      <c r="I453" s="155"/>
      <c r="J453" s="155"/>
      <c r="K453" s="235"/>
      <c r="L453" s="585"/>
      <c r="M453" s="585"/>
      <c r="N453"/>
      <c r="O453"/>
      <c r="P453"/>
      <c r="Q453"/>
      <c r="R453"/>
      <c r="S453"/>
    </row>
    <row r="454" spans="1:19" x14ac:dyDescent="0.25">
      <c r="A454" s="574" t="s">
        <v>276</v>
      </c>
      <c r="B454" s="574"/>
      <c r="C454" s="574"/>
      <c r="D454" s="574"/>
      <c r="E454" s="574"/>
      <c r="F454" s="93" t="e">
        <f>F458+#REF!+#REF!</f>
        <v>#REF!</v>
      </c>
      <c r="G454" s="587"/>
      <c r="H454" s="587"/>
      <c r="I454" s="155">
        <f>I458</f>
        <v>30000</v>
      </c>
      <c r="J454" s="155"/>
      <c r="K454" s="102">
        <f>K460</f>
        <v>79639.87</v>
      </c>
      <c r="L454" s="585"/>
      <c r="M454" s="585"/>
      <c r="N454"/>
      <c r="O454"/>
      <c r="P454"/>
      <c r="Q454"/>
      <c r="R454"/>
      <c r="S454"/>
    </row>
    <row r="455" spans="1:19" x14ac:dyDescent="0.25">
      <c r="A455" s="586" t="s">
        <v>68</v>
      </c>
      <c r="B455" s="586"/>
      <c r="C455" s="586"/>
      <c r="D455" s="586"/>
      <c r="E455" s="586"/>
      <c r="F455" s="43"/>
      <c r="G455" s="43"/>
      <c r="H455" s="43"/>
      <c r="I455" s="43"/>
      <c r="J455" s="43"/>
      <c r="K455" s="72"/>
      <c r="L455" s="77"/>
      <c r="M455" s="77"/>
      <c r="N455"/>
      <c r="O455"/>
      <c r="P455"/>
      <c r="Q455"/>
      <c r="R455"/>
      <c r="S455"/>
    </row>
    <row r="456" spans="1:19" x14ac:dyDescent="0.25">
      <c r="A456" s="586" t="s">
        <v>67</v>
      </c>
      <c r="B456" s="586"/>
      <c r="C456" s="586"/>
      <c r="D456" s="586"/>
      <c r="E456" s="586"/>
      <c r="F456" s="43"/>
      <c r="G456" s="43"/>
      <c r="H456" s="43"/>
      <c r="I456" s="43"/>
      <c r="J456" s="43"/>
      <c r="K456" s="72"/>
      <c r="L456" s="77"/>
      <c r="M456" s="77"/>
      <c r="N456"/>
      <c r="O456"/>
      <c r="P456"/>
      <c r="Q456"/>
      <c r="R456"/>
      <c r="S456"/>
    </row>
    <row r="457" spans="1:19" x14ac:dyDescent="0.25">
      <c r="A457" s="294"/>
      <c r="B457" s="294"/>
      <c r="C457" s="294"/>
      <c r="D457" s="294"/>
      <c r="E457" s="294"/>
      <c r="F457" s="72"/>
      <c r="G457" s="72"/>
      <c r="H457" s="72"/>
      <c r="I457" s="72"/>
      <c r="J457" s="72"/>
      <c r="K457" s="72"/>
      <c r="L457" s="77"/>
      <c r="M457" s="77"/>
      <c r="N457"/>
      <c r="O457"/>
      <c r="P457"/>
      <c r="Q457"/>
      <c r="R457"/>
      <c r="S457"/>
    </row>
    <row r="458" spans="1:19" x14ac:dyDescent="0.25">
      <c r="A458" s="166">
        <v>45</v>
      </c>
      <c r="B458" s="166" t="s">
        <v>277</v>
      </c>
      <c r="C458" s="166"/>
      <c r="D458" s="166"/>
      <c r="E458" s="166"/>
      <c r="F458" s="79">
        <f t="shared" ref="F458:H458" si="60">F459</f>
        <v>0</v>
      </c>
      <c r="G458" s="79">
        <f t="shared" si="60"/>
        <v>0</v>
      </c>
      <c r="H458" s="79">
        <f t="shared" si="60"/>
        <v>35000</v>
      </c>
      <c r="I458" s="79">
        <f>I459</f>
        <v>30000</v>
      </c>
      <c r="J458" s="79"/>
      <c r="K458" s="79"/>
      <c r="L458" s="83"/>
      <c r="M458" s="83"/>
      <c r="N458"/>
      <c r="O458"/>
      <c r="P458"/>
      <c r="Q458"/>
      <c r="R458"/>
      <c r="S458"/>
    </row>
    <row r="459" spans="1:19" x14ac:dyDescent="0.25">
      <c r="A459" s="166">
        <v>451</v>
      </c>
      <c r="B459" s="166" t="s">
        <v>278</v>
      </c>
      <c r="C459" s="166"/>
      <c r="D459" s="166"/>
      <c r="E459" s="166"/>
      <c r="F459" s="79">
        <f>SUM(F460:F460)</f>
        <v>0</v>
      </c>
      <c r="G459" s="79">
        <f>SUM(G460:G460)</f>
        <v>0</v>
      </c>
      <c r="H459" s="79">
        <f>H460</f>
        <v>35000</v>
      </c>
      <c r="I459" s="79">
        <f>I460</f>
        <v>30000</v>
      </c>
      <c r="J459" s="79"/>
      <c r="K459" s="79"/>
      <c r="L459" s="83"/>
      <c r="M459" s="83"/>
      <c r="N459"/>
      <c r="O459"/>
      <c r="P459"/>
      <c r="Q459"/>
      <c r="R459"/>
      <c r="S459"/>
    </row>
    <row r="460" spans="1:19" x14ac:dyDescent="0.25">
      <c r="A460" s="71">
        <v>4511</v>
      </c>
      <c r="B460" s="553" t="s">
        <v>831</v>
      </c>
      <c r="C460" s="553"/>
      <c r="D460" s="553"/>
      <c r="E460" s="553"/>
      <c r="F460" s="72"/>
      <c r="G460" s="72"/>
      <c r="H460" s="72">
        <f>40000-5000</f>
        <v>35000</v>
      </c>
      <c r="I460" s="72">
        <v>30000</v>
      </c>
      <c r="J460" s="72"/>
      <c r="K460" s="72">
        <v>79639.87</v>
      </c>
      <c r="L460" s="77" t="s">
        <v>829</v>
      </c>
      <c r="M460" s="77"/>
      <c r="N460" s="77"/>
      <c r="O460"/>
      <c r="P460"/>
      <c r="Q460"/>
      <c r="R460"/>
      <c r="S460"/>
    </row>
    <row r="461" spans="1:19" x14ac:dyDescent="0.25">
      <c r="A461" s="71"/>
      <c r="B461" s="280"/>
      <c r="C461" s="280"/>
      <c r="D461" s="280"/>
      <c r="E461" s="280"/>
      <c r="F461" s="268"/>
      <c r="G461" s="268"/>
      <c r="H461" s="72"/>
      <c r="I461" s="72"/>
      <c r="J461" s="72"/>
      <c r="K461" s="72"/>
      <c r="L461" s="77"/>
      <c r="M461" s="77"/>
      <c r="N461" s="77"/>
      <c r="O461"/>
      <c r="P461"/>
      <c r="Q461"/>
      <c r="R461"/>
      <c r="S461"/>
    </row>
    <row r="462" spans="1:19" x14ac:dyDescent="0.25">
      <c r="A462" s="579" t="s">
        <v>462</v>
      </c>
      <c r="B462" s="579"/>
      <c r="C462" s="579"/>
      <c r="D462" s="579"/>
      <c r="E462" s="579"/>
      <c r="F462" s="289"/>
      <c r="G462" s="587" t="e">
        <f>G467</f>
        <v>#REF!</v>
      </c>
      <c r="H462" s="587">
        <f t="shared" ref="H462" si="61">H467</f>
        <v>10000</v>
      </c>
      <c r="I462" s="155"/>
      <c r="J462" s="155"/>
      <c r="K462" s="235"/>
      <c r="L462" s="585"/>
      <c r="M462" s="585"/>
      <c r="N462"/>
      <c r="O462"/>
      <c r="P462"/>
      <c r="Q462"/>
      <c r="R462"/>
      <c r="S462"/>
    </row>
    <row r="463" spans="1:19" x14ac:dyDescent="0.25">
      <c r="A463" s="574" t="s">
        <v>276</v>
      </c>
      <c r="B463" s="574"/>
      <c r="C463" s="574"/>
      <c r="D463" s="574"/>
      <c r="E463" s="574"/>
      <c r="F463" s="93" t="e">
        <f>F467+#REF!+#REF!</f>
        <v>#REF!</v>
      </c>
      <c r="G463" s="587"/>
      <c r="H463" s="587"/>
      <c r="I463" s="155"/>
      <c r="J463" s="155"/>
      <c r="K463" s="102">
        <f>K469</f>
        <v>1000</v>
      </c>
      <c r="L463" s="585"/>
      <c r="M463" s="585"/>
      <c r="N463"/>
      <c r="O463"/>
      <c r="P463"/>
      <c r="Q463"/>
      <c r="R463"/>
      <c r="S463"/>
    </row>
    <row r="464" spans="1:19" x14ac:dyDescent="0.25">
      <c r="A464" s="586" t="s">
        <v>68</v>
      </c>
      <c r="B464" s="586"/>
      <c r="C464" s="586"/>
      <c r="D464" s="586"/>
      <c r="E464" s="586"/>
      <c r="F464" s="43"/>
      <c r="G464" s="43"/>
      <c r="H464" s="43"/>
      <c r="I464" s="43"/>
      <c r="J464" s="43"/>
      <c r="K464" s="72"/>
      <c r="L464" s="77"/>
      <c r="M464" s="77"/>
      <c r="N464"/>
      <c r="O464"/>
      <c r="P464"/>
      <c r="Q464"/>
      <c r="R464"/>
      <c r="S464"/>
    </row>
    <row r="465" spans="1:19" x14ac:dyDescent="0.25">
      <c r="A465" s="586" t="s">
        <v>67</v>
      </c>
      <c r="B465" s="586"/>
      <c r="C465" s="586"/>
      <c r="D465" s="586"/>
      <c r="E465" s="586"/>
      <c r="F465" s="43"/>
      <c r="G465" s="43"/>
      <c r="H465" s="43"/>
      <c r="I465" s="43"/>
      <c r="J465" s="43"/>
      <c r="K465" s="72"/>
      <c r="L465" s="77"/>
      <c r="M465" s="77"/>
      <c r="N465"/>
      <c r="O465"/>
      <c r="P465"/>
      <c r="Q465"/>
      <c r="R465"/>
      <c r="S465"/>
    </row>
    <row r="466" spans="1:19" x14ac:dyDescent="0.25">
      <c r="A466" s="294"/>
      <c r="B466" s="294"/>
      <c r="C466" s="294"/>
      <c r="D466" s="294"/>
      <c r="E466" s="294"/>
      <c r="F466" s="72"/>
      <c r="G466" s="72"/>
      <c r="H466" s="72"/>
      <c r="I466" s="72"/>
      <c r="J466" s="72"/>
      <c r="K466" s="72"/>
      <c r="L466" s="77"/>
      <c r="M466" s="77"/>
      <c r="N466"/>
      <c r="O466"/>
      <c r="P466"/>
      <c r="Q466"/>
      <c r="R466"/>
      <c r="S466"/>
    </row>
    <row r="467" spans="1:19" x14ac:dyDescent="0.25">
      <c r="A467" s="166">
        <v>45</v>
      </c>
      <c r="B467" s="166" t="s">
        <v>277</v>
      </c>
      <c r="C467" s="166"/>
      <c r="D467" s="166"/>
      <c r="E467" s="166"/>
      <c r="F467" s="79" t="e">
        <f t="shared" ref="F467:H467" si="62">F468</f>
        <v>#REF!</v>
      </c>
      <c r="G467" s="79" t="e">
        <f t="shared" si="62"/>
        <v>#REF!</v>
      </c>
      <c r="H467" s="79">
        <f t="shared" si="62"/>
        <v>10000</v>
      </c>
      <c r="I467" s="79"/>
      <c r="J467" s="79"/>
      <c r="K467" s="79"/>
      <c r="L467" s="83"/>
      <c r="M467" s="83"/>
      <c r="N467"/>
      <c r="O467"/>
      <c r="P467"/>
      <c r="Q467"/>
      <c r="R467"/>
      <c r="S467"/>
    </row>
    <row r="468" spans="1:19" x14ac:dyDescent="0.25">
      <c r="A468" s="166">
        <v>451</v>
      </c>
      <c r="B468" s="166" t="s">
        <v>278</v>
      </c>
      <c r="C468" s="166"/>
      <c r="D468" s="166"/>
      <c r="E468" s="166"/>
      <c r="F468" s="79" t="e">
        <f>SUM(#REF!)</f>
        <v>#REF!</v>
      </c>
      <c r="G468" s="79" t="e">
        <f>SUM(#REF!)</f>
        <v>#REF!</v>
      </c>
      <c r="H468" s="79">
        <f>H469</f>
        <v>10000</v>
      </c>
      <c r="I468" s="79"/>
      <c r="J468" s="79"/>
      <c r="K468" s="79"/>
      <c r="L468" s="83"/>
      <c r="M468" s="83"/>
      <c r="N468"/>
      <c r="O468"/>
      <c r="P468"/>
      <c r="Q468"/>
      <c r="R468"/>
      <c r="S468"/>
    </row>
    <row r="469" spans="1:19" x14ac:dyDescent="0.25">
      <c r="A469" s="71">
        <v>4511</v>
      </c>
      <c r="B469" s="553" t="s">
        <v>518</v>
      </c>
      <c r="C469" s="553"/>
      <c r="D469" s="553"/>
      <c r="E469" s="553"/>
      <c r="F469" s="268"/>
      <c r="G469" s="268"/>
      <c r="H469" s="72">
        <f>12000-2000</f>
        <v>10000</v>
      </c>
      <c r="I469" s="72">
        <v>0</v>
      </c>
      <c r="J469" s="72"/>
      <c r="K469" s="72">
        <v>1000</v>
      </c>
      <c r="L469" s="77"/>
      <c r="M469" s="77"/>
      <c r="N469" s="77"/>
      <c r="O469"/>
      <c r="P469"/>
      <c r="Q469"/>
      <c r="R469"/>
      <c r="S469"/>
    </row>
    <row r="470" spans="1:19" x14ac:dyDescent="0.25">
      <c r="A470" s="286"/>
      <c r="B470" s="71"/>
      <c r="C470" s="71"/>
      <c r="D470" s="71"/>
      <c r="E470" s="71"/>
      <c r="F470" s="72"/>
      <c r="G470" s="72"/>
      <c r="H470" s="72"/>
      <c r="I470" s="72"/>
      <c r="J470" s="72"/>
      <c r="K470" s="72"/>
    </row>
    <row r="471" spans="1:19" x14ac:dyDescent="0.25">
      <c r="A471" s="41" t="s">
        <v>272</v>
      </c>
      <c r="B471" s="41"/>
      <c r="C471" s="41"/>
      <c r="D471" s="41"/>
      <c r="E471" s="41"/>
      <c r="F471" s="104" t="e">
        <f>F473+#REF!</f>
        <v>#REF!</v>
      </c>
      <c r="G471" s="104">
        <f>G473</f>
        <v>132722.80841462605</v>
      </c>
      <c r="H471" s="104">
        <f>H473</f>
        <v>112000</v>
      </c>
      <c r="I471" s="104">
        <f>I473</f>
        <v>104000</v>
      </c>
      <c r="J471" s="104"/>
      <c r="K471" s="272"/>
    </row>
    <row r="472" spans="1:19" x14ac:dyDescent="0.25">
      <c r="A472" s="292" t="s">
        <v>431</v>
      </c>
      <c r="B472" s="292"/>
      <c r="C472" s="292"/>
      <c r="D472" s="292"/>
      <c r="E472" s="276"/>
      <c r="F472" s="276"/>
      <c r="G472" s="276"/>
      <c r="H472" s="276"/>
      <c r="I472" s="276"/>
      <c r="J472" s="276"/>
      <c r="K472" s="307"/>
      <c r="L472" s="265"/>
    </row>
    <row r="473" spans="1:19" ht="15.75" x14ac:dyDescent="0.25">
      <c r="A473" s="581" t="s">
        <v>116</v>
      </c>
      <c r="B473" s="581"/>
      <c r="C473" s="581"/>
      <c r="D473" s="581"/>
      <c r="E473" s="581"/>
      <c r="F473" s="305">
        <f t="shared" ref="F473:G473" si="63">F476</f>
        <v>0</v>
      </c>
      <c r="G473" s="93">
        <f t="shared" si="63"/>
        <v>132722.80841462605</v>
      </c>
      <c r="H473" s="93">
        <f>H481+H475+H483+H486</f>
        <v>112000</v>
      </c>
      <c r="I473" s="93">
        <f>I475+I479</f>
        <v>104000</v>
      </c>
      <c r="J473" s="93"/>
      <c r="K473" s="94">
        <f>K478+K484+K487</f>
        <v>5405</v>
      </c>
    </row>
    <row r="474" spans="1:19" x14ac:dyDescent="0.25">
      <c r="A474" s="286"/>
      <c r="B474" s="71"/>
      <c r="C474" s="71"/>
      <c r="D474" s="71"/>
      <c r="E474" s="71"/>
      <c r="F474" s="72"/>
      <c r="G474" s="72"/>
      <c r="H474" s="72"/>
      <c r="I474" s="72"/>
      <c r="J474" s="72"/>
      <c r="K474" s="72"/>
    </row>
    <row r="475" spans="1:19" x14ac:dyDescent="0.25">
      <c r="A475" s="166">
        <v>4</v>
      </c>
      <c r="B475" s="166" t="s">
        <v>5</v>
      </c>
      <c r="C475" s="166"/>
      <c r="D475" s="166"/>
      <c r="E475" s="166"/>
      <c r="F475" s="79"/>
      <c r="G475" s="79">
        <f>G476</f>
        <v>132722.80841462605</v>
      </c>
      <c r="H475" s="79">
        <f>H476</f>
        <v>100000</v>
      </c>
      <c r="I475" s="79">
        <f>I476</f>
        <v>100000</v>
      </c>
      <c r="J475" s="79"/>
      <c r="K475" s="79"/>
    </row>
    <row r="476" spans="1:19" x14ac:dyDescent="0.25">
      <c r="A476" s="166">
        <v>42</v>
      </c>
      <c r="B476" s="166" t="s">
        <v>273</v>
      </c>
      <c r="C476" s="166"/>
      <c r="D476" s="166"/>
      <c r="E476" s="166"/>
      <c r="F476" s="79">
        <f t="shared" ref="F476:G476" si="64">F477</f>
        <v>0</v>
      </c>
      <c r="G476" s="79">
        <f t="shared" si="64"/>
        <v>132722.80841462605</v>
      </c>
      <c r="H476" s="79">
        <f>H477</f>
        <v>100000</v>
      </c>
      <c r="I476" s="79">
        <f>I477</f>
        <v>100000</v>
      </c>
      <c r="J476" s="79"/>
      <c r="K476" s="79"/>
    </row>
    <row r="477" spans="1:19" x14ac:dyDescent="0.25">
      <c r="A477" s="166">
        <v>421</v>
      </c>
      <c r="B477" s="166" t="s">
        <v>167</v>
      </c>
      <c r="C477" s="166"/>
      <c r="D477" s="166"/>
      <c r="E477" s="166"/>
      <c r="F477" s="79">
        <f>SUM(F478:F484)</f>
        <v>0</v>
      </c>
      <c r="G477" s="79">
        <f>SUM(G478:G484)</f>
        <v>132722.80841462605</v>
      </c>
      <c r="H477" s="79">
        <f>H478</f>
        <v>100000</v>
      </c>
      <c r="I477" s="79">
        <f>I478</f>
        <v>100000</v>
      </c>
      <c r="J477" s="79"/>
      <c r="K477" s="79"/>
    </row>
    <row r="478" spans="1:19" x14ac:dyDescent="0.25">
      <c r="A478" s="286">
        <v>4214</v>
      </c>
      <c r="B478" s="71" t="s">
        <v>274</v>
      </c>
      <c r="C478" s="71"/>
      <c r="D478" s="71"/>
      <c r="E478" s="71"/>
      <c r="F478" s="72"/>
      <c r="G478" s="72">
        <f>1000000/7.5345</f>
        <v>132722.80841462605</v>
      </c>
      <c r="H478" s="72">
        <v>100000</v>
      </c>
      <c r="I478" s="72">
        <v>100000</v>
      </c>
      <c r="J478" s="72"/>
      <c r="K478" s="72">
        <v>4375</v>
      </c>
      <c r="L478" s="33" t="s">
        <v>532</v>
      </c>
      <c r="M478" s="33" t="s">
        <v>810</v>
      </c>
      <c r="O478" s="33" t="s">
        <v>811</v>
      </c>
    </row>
    <row r="479" spans="1:19" ht="17.25" customHeight="1" x14ac:dyDescent="0.25">
      <c r="A479" s="311">
        <v>3</v>
      </c>
      <c r="B479" s="304" t="s">
        <v>18</v>
      </c>
      <c r="C479" s="304"/>
      <c r="D479" s="304"/>
      <c r="E479" s="304"/>
      <c r="F479" s="72"/>
      <c r="G479" s="72"/>
      <c r="H479" s="79">
        <f>H480+H485</f>
        <v>12000</v>
      </c>
      <c r="I479" s="79">
        <f>I480+I485</f>
        <v>4000</v>
      </c>
      <c r="J479" s="79"/>
      <c r="K479" s="79"/>
    </row>
    <row r="480" spans="1:19" ht="15.75" customHeight="1" x14ac:dyDescent="0.25">
      <c r="A480" s="304" t="s">
        <v>545</v>
      </c>
      <c r="B480" s="304"/>
      <c r="C480" s="304"/>
      <c r="D480" s="304"/>
      <c r="E480" s="304"/>
      <c r="F480" s="72"/>
      <c r="G480" s="72"/>
      <c r="H480" s="79">
        <f>H481+H483</f>
        <v>10000</v>
      </c>
      <c r="I480" s="79">
        <f>I481+I483</f>
        <v>2000</v>
      </c>
      <c r="J480" s="79"/>
      <c r="K480" s="79"/>
    </row>
    <row r="481" spans="1:19" ht="15" customHeight="1" x14ac:dyDescent="0.25">
      <c r="A481" s="311">
        <v>322</v>
      </c>
      <c r="B481" s="582" t="s">
        <v>157</v>
      </c>
      <c r="C481" s="582"/>
      <c r="D481" s="582"/>
      <c r="E481" s="582"/>
      <c r="F481" s="72"/>
      <c r="G481" s="72"/>
      <c r="H481" s="79">
        <f>H482</f>
        <v>5000</v>
      </c>
      <c r="I481" s="79">
        <f>I482</f>
        <v>1000</v>
      </c>
      <c r="J481" s="79"/>
      <c r="K481" s="79"/>
    </row>
    <row r="482" spans="1:19" ht="16.5" customHeight="1" x14ac:dyDescent="0.25">
      <c r="A482" s="312">
        <v>3224</v>
      </c>
      <c r="B482" s="281" t="s">
        <v>275</v>
      </c>
      <c r="C482" s="281"/>
      <c r="D482" s="281"/>
      <c r="E482" s="281"/>
      <c r="F482" s="72"/>
      <c r="G482" s="72"/>
      <c r="H482" s="72">
        <v>5000</v>
      </c>
      <c r="I482" s="72">
        <v>1000</v>
      </c>
      <c r="J482" s="72"/>
      <c r="K482" s="72"/>
    </row>
    <row r="483" spans="1:19" ht="15.75" customHeight="1" x14ac:dyDescent="0.25">
      <c r="A483" s="582" t="s">
        <v>546</v>
      </c>
      <c r="B483" s="582"/>
      <c r="C483" s="582"/>
      <c r="D483" s="582"/>
      <c r="E483" s="582"/>
      <c r="F483" s="72"/>
      <c r="G483" s="72"/>
      <c r="H483" s="79">
        <f>H484</f>
        <v>5000</v>
      </c>
      <c r="I483" s="79">
        <f>I484</f>
        <v>1000</v>
      </c>
      <c r="J483" s="79"/>
      <c r="K483" s="79"/>
    </row>
    <row r="484" spans="1:19" ht="12.75" customHeight="1" x14ac:dyDescent="0.25">
      <c r="A484" s="312">
        <v>3232</v>
      </c>
      <c r="B484" s="281" t="s">
        <v>271</v>
      </c>
      <c r="C484" s="281"/>
      <c r="D484" s="281"/>
      <c r="E484" s="281"/>
      <c r="F484" s="72"/>
      <c r="G484" s="72"/>
      <c r="H484" s="72">
        <v>5000</v>
      </c>
      <c r="I484" s="72">
        <v>1000</v>
      </c>
      <c r="J484" s="72"/>
      <c r="K484" s="72">
        <f>330</f>
        <v>330</v>
      </c>
    </row>
    <row r="485" spans="1:19" s="117" customFormat="1" ht="16.5" customHeight="1" x14ac:dyDescent="0.25">
      <c r="A485" s="311">
        <v>38</v>
      </c>
      <c r="B485" s="304" t="s">
        <v>177</v>
      </c>
      <c r="C485" s="304"/>
      <c r="D485" s="304"/>
      <c r="E485" s="304"/>
      <c r="F485" s="79"/>
      <c r="G485" s="79"/>
      <c r="H485" s="79">
        <f>H486</f>
        <v>2000</v>
      </c>
      <c r="I485" s="79">
        <f>I486</f>
        <v>2000</v>
      </c>
      <c r="J485" s="79"/>
      <c r="K485" s="79"/>
      <c r="L485" s="164"/>
      <c r="M485" s="164"/>
      <c r="N485" s="164"/>
      <c r="O485" s="164"/>
      <c r="P485" s="164"/>
      <c r="Q485" s="164"/>
      <c r="R485" s="164"/>
      <c r="S485" s="164"/>
    </row>
    <row r="486" spans="1:19" s="117" customFormat="1" ht="13.5" customHeight="1" x14ac:dyDescent="0.25">
      <c r="A486" s="311">
        <v>381</v>
      </c>
      <c r="B486" s="304" t="s">
        <v>166</v>
      </c>
      <c r="C486" s="304"/>
      <c r="D486" s="304"/>
      <c r="E486" s="304"/>
      <c r="F486" s="79"/>
      <c r="G486" s="79"/>
      <c r="H486" s="79">
        <f>H487</f>
        <v>2000</v>
      </c>
      <c r="I486" s="79">
        <f>I487</f>
        <v>2000</v>
      </c>
      <c r="J486" s="79"/>
      <c r="K486" s="79"/>
      <c r="L486" s="164"/>
      <c r="M486" s="164"/>
      <c r="N486" s="164"/>
      <c r="O486" s="164"/>
      <c r="P486" s="164"/>
      <c r="Q486" s="164"/>
      <c r="R486" s="164"/>
      <c r="S486" s="164"/>
    </row>
    <row r="487" spans="1:19" ht="14.25" customHeight="1" x14ac:dyDescent="0.25">
      <c r="A487" s="312">
        <v>3811</v>
      </c>
      <c r="B487" s="281" t="s">
        <v>533</v>
      </c>
      <c r="C487" s="281"/>
      <c r="D487" s="281"/>
      <c r="E487" s="281"/>
      <c r="F487" s="72"/>
      <c r="G487" s="72"/>
      <c r="H487" s="72">
        <v>2000</v>
      </c>
      <c r="I487" s="72">
        <v>2000</v>
      </c>
      <c r="J487" s="72"/>
      <c r="K487" s="72">
        <v>700</v>
      </c>
    </row>
    <row r="488" spans="1:19" x14ac:dyDescent="0.25">
      <c r="A488" s="166"/>
      <c r="B488" s="287"/>
      <c r="C488" s="287"/>
      <c r="D488" s="287"/>
      <c r="E488" s="287"/>
      <c r="F488" s="72"/>
      <c r="G488" s="72"/>
      <c r="H488" s="72"/>
      <c r="I488" s="72"/>
      <c r="J488" s="72"/>
      <c r="K488" s="72"/>
    </row>
    <row r="489" spans="1:19" x14ac:dyDescent="0.25">
      <c r="A489" s="89" t="s">
        <v>279</v>
      </c>
      <c r="B489" s="89"/>
      <c r="C489" s="89"/>
      <c r="D489" s="89"/>
      <c r="E489" s="89"/>
      <c r="F489" s="90" t="e">
        <f>F490+F540+#REF!+F568</f>
        <v>#REF!</v>
      </c>
      <c r="G489" s="90">
        <f>G490+G540+G568</f>
        <v>224129.00656977901</v>
      </c>
      <c r="H489" s="90">
        <f>H490+H540+H568</f>
        <v>291881</v>
      </c>
      <c r="I489" s="90">
        <f>I490+I540+I568</f>
        <v>370766</v>
      </c>
      <c r="J489" s="90"/>
      <c r="K489" s="79"/>
    </row>
    <row r="490" spans="1:19" x14ac:dyDescent="0.25">
      <c r="A490" s="577" t="s">
        <v>87</v>
      </c>
      <c r="B490" s="577"/>
      <c r="C490" s="577"/>
      <c r="D490" s="577"/>
      <c r="E490" s="577"/>
      <c r="F490" s="82">
        <f t="shared" ref="F490" si="65">F492</f>
        <v>878628.54999999993</v>
      </c>
      <c r="G490" s="82">
        <f>G492</f>
        <v>208865.88360209702</v>
      </c>
      <c r="H490" s="82">
        <f>H492</f>
        <v>268381</v>
      </c>
      <c r="I490" s="82">
        <f>I492</f>
        <v>345966</v>
      </c>
      <c r="J490" s="82"/>
      <c r="K490" s="79"/>
    </row>
    <row r="491" spans="1:19" x14ac:dyDescent="0.25">
      <c r="A491" s="292" t="s">
        <v>442</v>
      </c>
      <c r="B491" s="292"/>
      <c r="C491" s="292"/>
      <c r="D491" s="292"/>
      <c r="E491" s="276"/>
      <c r="F491" s="276"/>
      <c r="G491" s="276"/>
      <c r="H491" s="276"/>
      <c r="I491" s="276"/>
      <c r="J491" s="276"/>
      <c r="K491" s="307"/>
      <c r="L491" s="265"/>
    </row>
    <row r="492" spans="1:19" x14ac:dyDescent="0.25">
      <c r="A492" s="96" t="s">
        <v>280</v>
      </c>
      <c r="B492" s="99"/>
      <c r="C492" s="99"/>
      <c r="D492" s="99"/>
      <c r="E492" s="99"/>
      <c r="F492" s="93">
        <f>F496+F503+F530+F535</f>
        <v>878628.54999999993</v>
      </c>
      <c r="G492" s="93">
        <f>G496+G503+G530+G535</f>
        <v>208865.88360209702</v>
      </c>
      <c r="H492" s="93">
        <f>H496+H503+H530+H535</f>
        <v>268381</v>
      </c>
      <c r="I492" s="93">
        <f>I495+I535</f>
        <v>345966</v>
      </c>
      <c r="J492" s="93"/>
      <c r="K492" s="94"/>
    </row>
    <row r="493" spans="1:19" x14ac:dyDescent="0.25">
      <c r="A493" s="583" t="s">
        <v>88</v>
      </c>
      <c r="B493" s="583"/>
      <c r="C493" s="583"/>
      <c r="D493" s="583"/>
      <c r="E493" s="583"/>
      <c r="F493" s="105"/>
      <c r="G493" s="105"/>
      <c r="H493" s="105"/>
      <c r="I493" s="105"/>
      <c r="J493" s="105"/>
      <c r="K493" s="72"/>
    </row>
    <row r="494" spans="1:19" x14ac:dyDescent="0.25">
      <c r="A494" s="306"/>
      <c r="B494" s="313"/>
      <c r="C494" s="313"/>
      <c r="D494" s="313"/>
      <c r="E494" s="313"/>
      <c r="F494" s="295"/>
      <c r="G494" s="270"/>
      <c r="H494" s="270"/>
      <c r="I494" s="270"/>
      <c r="J494" s="270"/>
      <c r="K494" s="267"/>
    </row>
    <row r="495" spans="1:19" x14ac:dyDescent="0.25">
      <c r="A495" s="303">
        <v>3</v>
      </c>
      <c r="B495" s="303" t="s">
        <v>18</v>
      </c>
      <c r="C495" s="303"/>
      <c r="D495" s="303"/>
      <c r="E495" s="303"/>
      <c r="F495" s="269"/>
      <c r="G495" s="269">
        <f>G496+G503+G530</f>
        <v>206476.87305063376</v>
      </c>
      <c r="H495" s="269">
        <f>H496+H503+H530</f>
        <v>266281</v>
      </c>
      <c r="I495" s="269">
        <f>I496+I503+I530</f>
        <v>341466</v>
      </c>
      <c r="J495" s="269"/>
      <c r="K495" s="79"/>
    </row>
    <row r="496" spans="1:19" x14ac:dyDescent="0.25">
      <c r="A496" s="166">
        <v>31</v>
      </c>
      <c r="B496" s="166" t="s">
        <v>151</v>
      </c>
      <c r="C496" s="166"/>
      <c r="D496" s="166"/>
      <c r="E496" s="166"/>
      <c r="F496" s="79">
        <f>F497+F499+F501</f>
        <v>707339.95</v>
      </c>
      <c r="G496" s="79">
        <f>G497+G499+G501</f>
        <v>162120.91047846572</v>
      </c>
      <c r="H496" s="79">
        <f>H497+H499+H501</f>
        <v>210843</v>
      </c>
      <c r="I496" s="79">
        <f>I497+I499+I501</f>
        <v>273940</v>
      </c>
      <c r="J496" s="79"/>
      <c r="K496" s="79"/>
    </row>
    <row r="497" spans="1:13" x14ac:dyDescent="0.25">
      <c r="A497" s="166">
        <v>311</v>
      </c>
      <c r="B497" s="166" t="s">
        <v>191</v>
      </c>
      <c r="C497" s="166"/>
      <c r="D497" s="166"/>
      <c r="E497" s="166"/>
      <c r="F497" s="79">
        <f t="shared" ref="F497:H497" si="66">F498</f>
        <v>597026.24</v>
      </c>
      <c r="G497" s="79">
        <f t="shared" si="66"/>
        <v>133386.42245669919</v>
      </c>
      <c r="H497" s="79">
        <f t="shared" si="66"/>
        <v>172800</v>
      </c>
      <c r="I497" s="79">
        <f>I498</f>
        <v>225400</v>
      </c>
      <c r="J497" s="79"/>
      <c r="K497" s="79"/>
    </row>
    <row r="498" spans="1:13" x14ac:dyDescent="0.25">
      <c r="A498" s="286">
        <v>3111</v>
      </c>
      <c r="B498" s="286" t="s">
        <v>281</v>
      </c>
      <c r="C498" s="286"/>
      <c r="D498" s="286"/>
      <c r="E498" s="286"/>
      <c r="F498" s="72">
        <v>597026.24</v>
      </c>
      <c r="G498" s="72">
        <f>1005000/7.5345</f>
        <v>133386.42245669919</v>
      </c>
      <c r="H498" s="72">
        <v>172800</v>
      </c>
      <c r="I498" s="72">
        <v>225400</v>
      </c>
      <c r="J498" s="72"/>
      <c r="K498" s="72"/>
    </row>
    <row r="499" spans="1:13" x14ac:dyDescent="0.25">
      <c r="A499" s="166">
        <v>312</v>
      </c>
      <c r="B499" s="166" t="s">
        <v>153</v>
      </c>
      <c r="C499" s="166"/>
      <c r="D499" s="166"/>
      <c r="E499" s="166"/>
      <c r="F499" s="79">
        <f>F500</f>
        <v>11734.57</v>
      </c>
      <c r="G499" s="79">
        <f>G500</f>
        <v>6702.5018249386158</v>
      </c>
      <c r="H499" s="79">
        <f>H500</f>
        <v>9531</v>
      </c>
      <c r="I499" s="79">
        <f>I500</f>
        <v>11340</v>
      </c>
      <c r="J499" s="79"/>
      <c r="K499" s="79"/>
    </row>
    <row r="500" spans="1:13" x14ac:dyDescent="0.25">
      <c r="A500" s="286">
        <v>3121</v>
      </c>
      <c r="B500" s="71" t="s">
        <v>282</v>
      </c>
      <c r="C500" s="286"/>
      <c r="D500" s="286"/>
      <c r="E500" s="286"/>
      <c r="F500" s="72">
        <v>11734.57</v>
      </c>
      <c r="G500" s="72">
        <f>50500/7.5345</f>
        <v>6702.5018249386158</v>
      </c>
      <c r="H500" s="72">
        <v>9531</v>
      </c>
      <c r="I500" s="72">
        <v>11340</v>
      </c>
      <c r="J500" s="72"/>
      <c r="K500" s="72"/>
      <c r="L500" s="33" t="s">
        <v>467</v>
      </c>
      <c r="M500" s="33" t="s">
        <v>468</v>
      </c>
    </row>
    <row r="501" spans="1:13" x14ac:dyDescent="0.25">
      <c r="A501" s="166">
        <v>313</v>
      </c>
      <c r="B501" s="166" t="s">
        <v>154</v>
      </c>
      <c r="C501" s="166"/>
      <c r="D501" s="166"/>
      <c r="E501" s="166"/>
      <c r="F501" s="79">
        <f>F502</f>
        <v>98579.14</v>
      </c>
      <c r="G501" s="79">
        <f>G502</f>
        <v>22031.986196827922</v>
      </c>
      <c r="H501" s="79">
        <f>H502</f>
        <v>28512</v>
      </c>
      <c r="I501" s="79">
        <f>I502</f>
        <v>37200</v>
      </c>
      <c r="J501" s="79"/>
      <c r="K501" s="79"/>
    </row>
    <row r="502" spans="1:13" x14ac:dyDescent="0.25">
      <c r="A502" s="286">
        <v>3132</v>
      </c>
      <c r="B502" s="286" t="s">
        <v>173</v>
      </c>
      <c r="C502" s="286"/>
      <c r="D502" s="286"/>
      <c r="E502" s="286"/>
      <c r="F502" s="72">
        <v>98579.14</v>
      </c>
      <c r="G502" s="72">
        <f>166000/7.5345</f>
        <v>22031.986196827922</v>
      </c>
      <c r="H502" s="72">
        <v>28512</v>
      </c>
      <c r="I502" s="72">
        <v>37200</v>
      </c>
      <c r="J502" s="72"/>
      <c r="K502" s="72"/>
    </row>
    <row r="503" spans="1:13" x14ac:dyDescent="0.25">
      <c r="A503" s="166">
        <v>32</v>
      </c>
      <c r="B503" s="166" t="s">
        <v>155</v>
      </c>
      <c r="C503" s="166"/>
      <c r="D503" s="166"/>
      <c r="E503" s="166"/>
      <c r="F503" s="79">
        <f>F504+F509+F516+F524</f>
        <v>160392.46</v>
      </c>
      <c r="G503" s="79">
        <f>G504+G509+G516+G524</f>
        <v>43426.902913265651</v>
      </c>
      <c r="H503" s="79">
        <f>H504+H509+H516+H524</f>
        <v>54670</v>
      </c>
      <c r="I503" s="79">
        <f>I504+I509+I516+I524</f>
        <v>66566</v>
      </c>
      <c r="J503" s="79"/>
      <c r="K503" s="79"/>
    </row>
    <row r="504" spans="1:13" x14ac:dyDescent="0.25">
      <c r="A504" s="166">
        <v>321</v>
      </c>
      <c r="B504" s="166" t="s">
        <v>156</v>
      </c>
      <c r="C504" s="166"/>
      <c r="D504" s="166"/>
      <c r="E504" s="166"/>
      <c r="F504" s="79">
        <f t="shared" ref="F504" si="67">SUM(F505:F507)</f>
        <v>36016.400000000001</v>
      </c>
      <c r="G504" s="79">
        <f>SUM(G505:G508)</f>
        <v>9290.5965890238258</v>
      </c>
      <c r="H504" s="79">
        <f>SUM(H505:H508)</f>
        <v>14540</v>
      </c>
      <c r="I504" s="79">
        <f>I505+I506+I507+I508</f>
        <v>14375</v>
      </c>
      <c r="J504" s="79"/>
      <c r="K504" s="79"/>
    </row>
    <row r="505" spans="1:13" x14ac:dyDescent="0.25">
      <c r="A505" s="71">
        <v>3211</v>
      </c>
      <c r="B505" s="71" t="s">
        <v>174</v>
      </c>
      <c r="C505" s="71"/>
      <c r="D505" s="71"/>
      <c r="E505" s="71"/>
      <c r="F505" s="40">
        <f>624+628.4</f>
        <v>1252.4000000000001</v>
      </c>
      <c r="G505" s="267">
        <f>1000/7.5345</f>
        <v>132.72280841462606</v>
      </c>
      <c r="H505" s="267">
        <v>1070</v>
      </c>
      <c r="I505" s="267">
        <v>400</v>
      </c>
      <c r="J505" s="267"/>
      <c r="K505" s="267"/>
    </row>
    <row r="506" spans="1:13" x14ac:dyDescent="0.25">
      <c r="A506" s="71">
        <v>3212</v>
      </c>
      <c r="B506" s="71" t="s">
        <v>283</v>
      </c>
      <c r="C506" s="71"/>
      <c r="D506" s="71"/>
      <c r="E506" s="71"/>
      <c r="F506" s="40">
        <v>33504</v>
      </c>
      <c r="G506" s="267">
        <f>63000/7.5345</f>
        <v>8361.5369301214414</v>
      </c>
      <c r="H506" s="267">
        <v>12670</v>
      </c>
      <c r="I506" s="267">
        <v>12525</v>
      </c>
      <c r="J506" s="267"/>
      <c r="K506" s="267"/>
    </row>
    <row r="507" spans="1:13" x14ac:dyDescent="0.25">
      <c r="A507" s="286">
        <v>3213</v>
      </c>
      <c r="B507" s="286" t="s">
        <v>194</v>
      </c>
      <c r="C507" s="286"/>
      <c r="D507" s="286"/>
      <c r="E507" s="286"/>
      <c r="F507" s="40">
        <v>1260</v>
      </c>
      <c r="G507" s="267">
        <f>3000/7.5345</f>
        <v>398.16842524387812</v>
      </c>
      <c r="H507" s="267">
        <v>400</v>
      </c>
      <c r="I507" s="267">
        <v>750</v>
      </c>
      <c r="J507" s="267"/>
      <c r="K507" s="267"/>
    </row>
    <row r="508" spans="1:13" x14ac:dyDescent="0.25">
      <c r="A508" s="286">
        <v>3214</v>
      </c>
      <c r="B508" s="584" t="s">
        <v>284</v>
      </c>
      <c r="C508" s="584"/>
      <c r="D508" s="584"/>
      <c r="E508" s="584"/>
      <c r="F508" s="40"/>
      <c r="G508" s="267">
        <f>3000/7.5345</f>
        <v>398.16842524387812</v>
      </c>
      <c r="H508" s="267">
        <v>400</v>
      </c>
      <c r="I508" s="267">
        <v>700</v>
      </c>
      <c r="J508" s="267"/>
      <c r="K508" s="267"/>
    </row>
    <row r="509" spans="1:13" x14ac:dyDescent="0.25">
      <c r="A509" s="166">
        <v>322</v>
      </c>
      <c r="B509" s="166" t="s">
        <v>157</v>
      </c>
      <c r="C509" s="166"/>
      <c r="D509" s="166"/>
      <c r="E509" s="166"/>
      <c r="F509" s="79">
        <f>SUM(F510:F515)</f>
        <v>82052.7</v>
      </c>
      <c r="G509" s="79">
        <f>SUM(G510:G515)</f>
        <v>24487.358152498509</v>
      </c>
      <c r="H509" s="79">
        <f>SUM(H510:H515)</f>
        <v>28850</v>
      </c>
      <c r="I509" s="79">
        <f>I510+I511+I512+I513+I514+I515</f>
        <v>40650</v>
      </c>
      <c r="J509" s="79"/>
      <c r="K509" s="79"/>
    </row>
    <row r="510" spans="1:13" x14ac:dyDescent="0.25">
      <c r="A510" s="71">
        <v>3221</v>
      </c>
      <c r="B510" s="71" t="s">
        <v>285</v>
      </c>
      <c r="C510" s="71"/>
      <c r="D510" s="71"/>
      <c r="E510" s="71"/>
      <c r="F510" s="40">
        <v>22346.53</v>
      </c>
      <c r="G510" s="267">
        <f>20000/7.5345</f>
        <v>2654.4561682925209</v>
      </c>
      <c r="H510" s="267">
        <v>2750</v>
      </c>
      <c r="I510" s="267">
        <f>650+1200+600+500</f>
        <v>2950</v>
      </c>
      <c r="J510" s="267"/>
      <c r="K510" s="267"/>
    </row>
    <row r="511" spans="1:13" x14ac:dyDescent="0.25">
      <c r="A511" s="71">
        <v>3222</v>
      </c>
      <c r="B511" s="71" t="s">
        <v>286</v>
      </c>
      <c r="C511" s="71"/>
      <c r="D511" s="71"/>
      <c r="E511" s="71"/>
      <c r="F511" s="40">
        <v>52273.03</v>
      </c>
      <c r="G511" s="267">
        <f>75000/7.5345</f>
        <v>9954.2106310969539</v>
      </c>
      <c r="H511" s="267">
        <v>13000</v>
      </c>
      <c r="I511" s="267">
        <v>22000</v>
      </c>
      <c r="J511" s="267"/>
      <c r="K511" s="267"/>
    </row>
    <row r="512" spans="1:13" x14ac:dyDescent="0.25">
      <c r="A512" s="71">
        <v>3223</v>
      </c>
      <c r="B512" s="71" t="s">
        <v>331</v>
      </c>
      <c r="C512" s="71"/>
      <c r="D512" s="71"/>
      <c r="E512" s="71"/>
      <c r="F512" s="40">
        <f>1737.41+5695.73</f>
        <v>7433.1399999999994</v>
      </c>
      <c r="G512" s="267">
        <f>63000/7.5345</f>
        <v>8361.5369301214414</v>
      </c>
      <c r="H512" s="267">
        <v>7500</v>
      </c>
      <c r="I512" s="267">
        <v>9000</v>
      </c>
      <c r="J512" s="267"/>
      <c r="K512" s="267"/>
    </row>
    <row r="513" spans="1:11" x14ac:dyDescent="0.25">
      <c r="A513" s="71">
        <v>3224</v>
      </c>
      <c r="B513" s="553" t="s">
        <v>332</v>
      </c>
      <c r="C513" s="553"/>
      <c r="D513" s="553"/>
      <c r="E513" s="553"/>
      <c r="F513" s="40"/>
      <c r="G513" s="267">
        <f>7000/7.5345</f>
        <v>929.05965890238235</v>
      </c>
      <c r="H513" s="267">
        <v>1500</v>
      </c>
      <c r="I513" s="267">
        <v>1500</v>
      </c>
      <c r="J513" s="267"/>
      <c r="K513" s="267"/>
    </row>
    <row r="514" spans="1:11" x14ac:dyDescent="0.25">
      <c r="A514" s="286">
        <v>3225</v>
      </c>
      <c r="B514" s="553" t="s">
        <v>287</v>
      </c>
      <c r="C514" s="553"/>
      <c r="D514" s="553"/>
      <c r="E514" s="286"/>
      <c r="F514" s="40"/>
      <c r="G514" s="267">
        <f>15000/7.5345</f>
        <v>1990.8421262193906</v>
      </c>
      <c r="H514" s="267">
        <v>3100</v>
      </c>
      <c r="I514" s="267">
        <v>4000</v>
      </c>
      <c r="J514" s="267"/>
      <c r="K514" s="267"/>
    </row>
    <row r="515" spans="1:11" x14ac:dyDescent="0.25">
      <c r="A515" s="286">
        <v>3227</v>
      </c>
      <c r="B515" s="553" t="s">
        <v>288</v>
      </c>
      <c r="C515" s="553"/>
      <c r="D515" s="553"/>
      <c r="E515" s="553"/>
      <c r="F515" s="40"/>
      <c r="G515" s="267">
        <f>4500/7.5345</f>
        <v>597.25263786581718</v>
      </c>
      <c r="H515" s="267">
        <v>1000</v>
      </c>
      <c r="I515" s="267">
        <v>1200</v>
      </c>
      <c r="J515" s="267"/>
      <c r="K515" s="267"/>
    </row>
    <row r="516" spans="1:11" x14ac:dyDescent="0.25">
      <c r="A516" s="166">
        <v>323</v>
      </c>
      <c r="B516" s="166" t="s">
        <v>158</v>
      </c>
      <c r="C516" s="166"/>
      <c r="D516" s="166"/>
      <c r="E516" s="166"/>
      <c r="F516" s="79">
        <f>SUM(F517:F523)</f>
        <v>32867.549999999996</v>
      </c>
      <c r="G516" s="79">
        <f>SUM(G517:G523)</f>
        <v>6649.4127015727645</v>
      </c>
      <c r="H516" s="79">
        <f>SUM(H517:H523)</f>
        <v>8534</v>
      </c>
      <c r="I516" s="79">
        <f>I517+I519+I518+I520+I521+I522+I523</f>
        <v>8641</v>
      </c>
      <c r="J516" s="79"/>
      <c r="K516" s="79"/>
    </row>
    <row r="517" spans="1:11" x14ac:dyDescent="0.25">
      <c r="A517" s="286">
        <v>3231</v>
      </c>
      <c r="B517" s="71" t="s">
        <v>469</v>
      </c>
      <c r="C517" s="286"/>
      <c r="D517" s="286"/>
      <c r="E517" s="286"/>
      <c r="F517" s="40">
        <f>2141.19+800</f>
        <v>2941.19</v>
      </c>
      <c r="G517" s="267">
        <f>3600/7.5345</f>
        <v>477.80211029265377</v>
      </c>
      <c r="H517" s="267">
        <v>650</v>
      </c>
      <c r="I517" s="267">
        <v>730</v>
      </c>
      <c r="J517" s="267"/>
      <c r="K517" s="267"/>
    </row>
    <row r="518" spans="1:11" x14ac:dyDescent="0.25">
      <c r="A518" s="286">
        <v>3232</v>
      </c>
      <c r="B518" s="286" t="s">
        <v>289</v>
      </c>
      <c r="C518" s="286"/>
      <c r="D518" s="286"/>
      <c r="E518" s="286"/>
      <c r="F518" s="40">
        <v>12484.13</v>
      </c>
      <c r="G518" s="267">
        <f>8000/7.5345</f>
        <v>1061.7824673170085</v>
      </c>
      <c r="H518" s="267">
        <v>2300</v>
      </c>
      <c r="I518" s="267">
        <v>1000</v>
      </c>
      <c r="J518" s="267"/>
      <c r="K518" s="267"/>
    </row>
    <row r="519" spans="1:11" x14ac:dyDescent="0.25">
      <c r="A519" s="286">
        <v>3234</v>
      </c>
      <c r="B519" s="71" t="s">
        <v>470</v>
      </c>
      <c r="C519" s="286"/>
      <c r="D519" s="286"/>
      <c r="E519" s="286"/>
      <c r="F519" s="40">
        <v>8897.6299999999992</v>
      </c>
      <c r="G519" s="267">
        <f>20000/7.5345</f>
        <v>2654.4561682925209</v>
      </c>
      <c r="H519" s="267">
        <v>3290</v>
      </c>
      <c r="I519" s="267">
        <v>3520</v>
      </c>
      <c r="J519" s="267"/>
      <c r="K519" s="267"/>
    </row>
    <row r="520" spans="1:11" x14ac:dyDescent="0.25">
      <c r="A520" s="286">
        <v>3236</v>
      </c>
      <c r="B520" s="71" t="s">
        <v>471</v>
      </c>
      <c r="C520" s="286"/>
      <c r="D520" s="286"/>
      <c r="E520" s="286"/>
      <c r="F520" s="40">
        <v>8544.6</v>
      </c>
      <c r="G520" s="267">
        <f>9000/7.5345</f>
        <v>1194.5052757316344</v>
      </c>
      <c r="H520" s="267">
        <v>1244</v>
      </c>
      <c r="I520" s="267">
        <v>1341</v>
      </c>
      <c r="J520" s="267"/>
      <c r="K520" s="267"/>
    </row>
    <row r="521" spans="1:11" x14ac:dyDescent="0.25">
      <c r="A521" s="286"/>
      <c r="B521" s="553" t="s">
        <v>333</v>
      </c>
      <c r="C521" s="553"/>
      <c r="D521" s="553"/>
      <c r="E521" s="553"/>
      <c r="F521" s="40"/>
      <c r="G521" s="267">
        <f>4000/7.5345</f>
        <v>530.89123365850423</v>
      </c>
      <c r="H521" s="267">
        <v>300</v>
      </c>
      <c r="I521" s="267">
        <v>1300</v>
      </c>
      <c r="J521" s="267"/>
      <c r="K521" s="267"/>
    </row>
    <row r="522" spans="1:11" x14ac:dyDescent="0.25">
      <c r="A522" s="286"/>
      <c r="B522" s="553" t="s">
        <v>290</v>
      </c>
      <c r="C522" s="553"/>
      <c r="D522" s="553"/>
      <c r="E522" s="553"/>
      <c r="F522" s="40"/>
      <c r="G522" s="267">
        <f>5000/7.5345</f>
        <v>663.61404207313024</v>
      </c>
      <c r="H522" s="267">
        <v>650</v>
      </c>
      <c r="I522" s="267">
        <v>650</v>
      </c>
      <c r="J522" s="267"/>
      <c r="K522" s="267"/>
    </row>
    <row r="523" spans="1:11" x14ac:dyDescent="0.25">
      <c r="A523" s="286">
        <v>3237</v>
      </c>
      <c r="B523" s="71" t="s">
        <v>334</v>
      </c>
      <c r="C523" s="286"/>
      <c r="D523" s="286"/>
      <c r="E523" s="286"/>
      <c r="F523" s="40"/>
      <c r="G523" s="267">
        <f>500/7.5345</f>
        <v>66.361404207313029</v>
      </c>
      <c r="H523" s="267">
        <v>100</v>
      </c>
      <c r="I523" s="267">
        <v>100</v>
      </c>
      <c r="J523" s="267"/>
      <c r="K523" s="267"/>
    </row>
    <row r="524" spans="1:11" x14ac:dyDescent="0.25">
      <c r="A524" s="166">
        <v>329</v>
      </c>
      <c r="B524" s="166" t="s">
        <v>291</v>
      </c>
      <c r="C524" s="166"/>
      <c r="D524" s="166"/>
      <c r="E524" s="166"/>
      <c r="F524" s="79">
        <f t="shared" ref="F524" si="68">SUM(F525:F529)</f>
        <v>9455.81</v>
      </c>
      <c r="G524" s="79">
        <f>SUM(G525:G529)</f>
        <v>2999.5354701705487</v>
      </c>
      <c r="H524" s="79">
        <f>SUM(H525:H529)</f>
        <v>2746</v>
      </c>
      <c r="I524" s="79">
        <f>I525+I526+I527+I528+I529</f>
        <v>2900</v>
      </c>
      <c r="J524" s="79"/>
      <c r="K524" s="79"/>
    </row>
    <row r="525" spans="1:11" x14ac:dyDescent="0.25">
      <c r="A525" s="286">
        <v>3291</v>
      </c>
      <c r="B525" s="71" t="s">
        <v>292</v>
      </c>
      <c r="C525" s="286"/>
      <c r="D525" s="286"/>
      <c r="E525" s="286"/>
      <c r="F525" s="40">
        <v>8886.91</v>
      </c>
      <c r="G525" s="267">
        <f>19000/7.5345</f>
        <v>2521.7333598778951</v>
      </c>
      <c r="H525" s="267">
        <v>2300</v>
      </c>
      <c r="I525" s="267">
        <v>2300</v>
      </c>
      <c r="J525" s="267"/>
      <c r="K525" s="267"/>
    </row>
    <row r="526" spans="1:11" x14ac:dyDescent="0.25">
      <c r="A526" s="286"/>
      <c r="B526" s="553" t="s">
        <v>293</v>
      </c>
      <c r="C526" s="553"/>
      <c r="D526" s="553"/>
      <c r="E526" s="553"/>
      <c r="F526" s="40"/>
      <c r="G526" s="267">
        <f>1000/7.5345</f>
        <v>132.72280841462606</v>
      </c>
      <c r="H526" s="267">
        <v>132</v>
      </c>
      <c r="I526" s="267">
        <v>135</v>
      </c>
      <c r="J526" s="267"/>
      <c r="K526" s="267"/>
    </row>
    <row r="527" spans="1:11" x14ac:dyDescent="0.25">
      <c r="A527" s="286">
        <v>3294</v>
      </c>
      <c r="B527" s="280" t="s">
        <v>294</v>
      </c>
      <c r="C527" s="280"/>
      <c r="D527" s="280"/>
      <c r="E527" s="280"/>
      <c r="F527" s="40"/>
      <c r="G527" s="267">
        <f>100/7.5345</f>
        <v>13.272280841462605</v>
      </c>
      <c r="H527" s="267">
        <v>14</v>
      </c>
      <c r="I527" s="267">
        <v>15</v>
      </c>
      <c r="J527" s="267"/>
      <c r="K527" s="267"/>
    </row>
    <row r="528" spans="1:11" x14ac:dyDescent="0.25">
      <c r="A528" s="286"/>
      <c r="B528" s="553" t="s">
        <v>295</v>
      </c>
      <c r="C528" s="553"/>
      <c r="D528" s="553"/>
      <c r="E528" s="553"/>
      <c r="F528" s="40"/>
      <c r="G528" s="267">
        <f>1500/7.5345</f>
        <v>199.08421262193906</v>
      </c>
      <c r="H528" s="267">
        <v>150</v>
      </c>
      <c r="I528" s="267">
        <v>150</v>
      </c>
      <c r="J528" s="267"/>
      <c r="K528" s="267"/>
    </row>
    <row r="529" spans="1:12" x14ac:dyDescent="0.25">
      <c r="A529" s="286">
        <v>3293</v>
      </c>
      <c r="B529" s="71" t="s">
        <v>176</v>
      </c>
      <c r="C529" s="286"/>
      <c r="D529" s="286"/>
      <c r="E529" s="286"/>
      <c r="F529" s="40">
        <v>568.9</v>
      </c>
      <c r="G529" s="267">
        <f>1000/7.5345</f>
        <v>132.72280841462606</v>
      </c>
      <c r="H529" s="267">
        <v>150</v>
      </c>
      <c r="I529" s="267">
        <v>300</v>
      </c>
      <c r="J529" s="267"/>
      <c r="K529" s="267"/>
    </row>
    <row r="530" spans="1:12" x14ac:dyDescent="0.25">
      <c r="A530" s="166">
        <v>34</v>
      </c>
      <c r="B530" s="166" t="s">
        <v>159</v>
      </c>
      <c r="C530" s="166"/>
      <c r="D530" s="166"/>
      <c r="E530" s="166"/>
      <c r="F530" s="79">
        <f t="shared" ref="F530:H530" si="69">F531</f>
        <v>4504.6399999999994</v>
      </c>
      <c r="G530" s="79">
        <f t="shared" si="69"/>
        <v>929.05965890238224</v>
      </c>
      <c r="H530" s="79">
        <f t="shared" si="69"/>
        <v>768</v>
      </c>
      <c r="I530" s="79">
        <f>I531</f>
        <v>960</v>
      </c>
      <c r="J530" s="79"/>
      <c r="K530" s="79"/>
    </row>
    <row r="531" spans="1:12" x14ac:dyDescent="0.25">
      <c r="A531" s="166">
        <v>343</v>
      </c>
      <c r="B531" s="166" t="s">
        <v>160</v>
      </c>
      <c r="C531" s="166"/>
      <c r="D531" s="166"/>
      <c r="E531" s="166"/>
      <c r="F531" s="79">
        <f>F532+F534</f>
        <v>4504.6399999999994</v>
      </c>
      <c r="G531" s="79">
        <f>G532+G534+G533</f>
        <v>929.05965890238224</v>
      </c>
      <c r="H531" s="79">
        <f>H532+H534+H533</f>
        <v>768</v>
      </c>
      <c r="I531" s="79">
        <f>I532+I533</f>
        <v>960</v>
      </c>
      <c r="J531" s="79"/>
      <c r="K531" s="79"/>
    </row>
    <row r="532" spans="1:12" x14ac:dyDescent="0.25">
      <c r="A532" s="286">
        <v>3431</v>
      </c>
      <c r="B532" s="71" t="s">
        <v>225</v>
      </c>
      <c r="C532" s="286"/>
      <c r="D532" s="286"/>
      <c r="E532" s="286"/>
      <c r="F532" s="72">
        <v>4455.45</v>
      </c>
      <c r="G532" s="72">
        <f>6500/7.5345</f>
        <v>862.69825469506929</v>
      </c>
      <c r="H532" s="72">
        <v>708</v>
      </c>
      <c r="I532" s="72">
        <v>950</v>
      </c>
      <c r="J532" s="72"/>
      <c r="K532" s="72"/>
    </row>
    <row r="533" spans="1:12" x14ac:dyDescent="0.25">
      <c r="A533" s="286">
        <v>3433</v>
      </c>
      <c r="B533" s="71" t="s">
        <v>335</v>
      </c>
      <c r="C533" s="286"/>
      <c r="D533" s="286"/>
      <c r="E533" s="286"/>
      <c r="F533" s="72"/>
      <c r="G533" s="72">
        <f>200/7.5345</f>
        <v>26.54456168292521</v>
      </c>
      <c r="H533" s="72">
        <v>10</v>
      </c>
      <c r="I533" s="72">
        <v>10</v>
      </c>
      <c r="J533" s="72"/>
      <c r="K533" s="72"/>
    </row>
    <row r="534" spans="1:12" x14ac:dyDescent="0.25">
      <c r="A534" s="286">
        <v>3434</v>
      </c>
      <c r="B534" s="71" t="s">
        <v>296</v>
      </c>
      <c r="C534" s="286"/>
      <c r="D534" s="286"/>
      <c r="E534" s="286"/>
      <c r="F534" s="72">
        <f>14.19+35</f>
        <v>49.19</v>
      </c>
      <c r="G534" s="72">
        <f>300/7.5345</f>
        <v>39.816842524387816</v>
      </c>
      <c r="H534" s="72">
        <v>50</v>
      </c>
      <c r="I534" s="72"/>
      <c r="J534" s="72"/>
      <c r="K534" s="72"/>
    </row>
    <row r="535" spans="1:12" x14ac:dyDescent="0.25">
      <c r="A535" s="166">
        <v>4</v>
      </c>
      <c r="B535" s="166" t="s">
        <v>297</v>
      </c>
      <c r="C535" s="166"/>
      <c r="D535" s="166"/>
      <c r="E535" s="166"/>
      <c r="F535" s="79">
        <f>F536</f>
        <v>6391.5</v>
      </c>
      <c r="G535" s="79">
        <f>G536</f>
        <v>2389.0105514632687</v>
      </c>
      <c r="H535" s="79">
        <f>H536</f>
        <v>2100</v>
      </c>
      <c r="I535" s="79">
        <f>I536</f>
        <v>4500</v>
      </c>
      <c r="J535" s="79"/>
      <c r="K535" s="79"/>
    </row>
    <row r="536" spans="1:12" x14ac:dyDescent="0.25">
      <c r="A536" s="166">
        <v>42</v>
      </c>
      <c r="B536" s="166" t="s">
        <v>268</v>
      </c>
      <c r="C536" s="166"/>
      <c r="D536" s="166"/>
      <c r="E536" s="166"/>
      <c r="F536" s="79">
        <f t="shared" ref="F536:H536" si="70">F537</f>
        <v>6391.5</v>
      </c>
      <c r="G536" s="79">
        <f t="shared" si="70"/>
        <v>2389.0105514632687</v>
      </c>
      <c r="H536" s="79">
        <f t="shared" si="70"/>
        <v>2100</v>
      </c>
      <c r="I536" s="79">
        <f>I537</f>
        <v>4500</v>
      </c>
      <c r="J536" s="79"/>
      <c r="K536" s="79"/>
    </row>
    <row r="537" spans="1:12" x14ac:dyDescent="0.25">
      <c r="A537" s="166">
        <v>422</v>
      </c>
      <c r="B537" s="166" t="s">
        <v>168</v>
      </c>
      <c r="C537" s="166"/>
      <c r="D537" s="166"/>
      <c r="E537" s="166"/>
      <c r="F537" s="79">
        <f>F538</f>
        <v>6391.5</v>
      </c>
      <c r="G537" s="79">
        <f>G538+G539</f>
        <v>2389.0105514632687</v>
      </c>
      <c r="H537" s="79">
        <f>H538+H539</f>
        <v>2100</v>
      </c>
      <c r="I537" s="79">
        <f>I538+I539</f>
        <v>4500</v>
      </c>
      <c r="J537" s="79"/>
      <c r="K537" s="79"/>
    </row>
    <row r="538" spans="1:12" x14ac:dyDescent="0.25">
      <c r="A538" s="286">
        <v>4221</v>
      </c>
      <c r="B538" s="71" t="s">
        <v>472</v>
      </c>
      <c r="C538" s="286"/>
      <c r="D538" s="286"/>
      <c r="E538" s="286"/>
      <c r="F538" s="72">
        <f>6391.5</f>
        <v>6391.5</v>
      </c>
      <c r="G538" s="268">
        <f>18000/7.5345</f>
        <v>2389.0105514632687</v>
      </c>
      <c r="H538" s="268">
        <v>400</v>
      </c>
      <c r="I538" s="268">
        <v>3500</v>
      </c>
      <c r="J538" s="268"/>
      <c r="K538" s="72"/>
    </row>
    <row r="539" spans="1:12" x14ac:dyDescent="0.25">
      <c r="A539" s="286">
        <v>4227</v>
      </c>
      <c r="B539" s="553" t="s">
        <v>473</v>
      </c>
      <c r="C539" s="553"/>
      <c r="D539" s="553"/>
      <c r="E539" s="553"/>
      <c r="F539" s="72"/>
      <c r="G539" s="72"/>
      <c r="H539" s="72">
        <v>1700</v>
      </c>
      <c r="I539" s="72">
        <v>1000</v>
      </c>
      <c r="J539" s="72"/>
      <c r="K539" s="72"/>
    </row>
    <row r="540" spans="1:12" x14ac:dyDescent="0.25">
      <c r="A540" s="81" t="s">
        <v>402</v>
      </c>
      <c r="B540" s="81"/>
      <c r="C540" s="81"/>
      <c r="D540" s="81"/>
      <c r="E540" s="81"/>
      <c r="F540" s="82">
        <f t="shared" ref="F540" si="71">F542</f>
        <v>3810.41</v>
      </c>
      <c r="G540" s="82">
        <f>G542</f>
        <v>3981.6842524387812</v>
      </c>
      <c r="H540" s="82">
        <f>H542+H553+H561</f>
        <v>13500</v>
      </c>
      <c r="I540" s="82">
        <f>I542+I553+I561</f>
        <v>14800</v>
      </c>
      <c r="J540" s="82"/>
      <c r="K540" s="79"/>
    </row>
    <row r="541" spans="1:12" x14ac:dyDescent="0.25">
      <c r="A541" s="292" t="s">
        <v>443</v>
      </c>
      <c r="B541" s="292"/>
      <c r="C541" s="292"/>
      <c r="D541" s="292"/>
      <c r="E541" s="276"/>
      <c r="F541" s="276"/>
      <c r="G541" s="276"/>
      <c r="H541" s="276"/>
      <c r="I541" s="276"/>
      <c r="J541" s="276"/>
      <c r="K541" s="307"/>
      <c r="L541" s="265"/>
    </row>
    <row r="542" spans="1:12" x14ac:dyDescent="0.25">
      <c r="A542" s="572" t="s">
        <v>298</v>
      </c>
      <c r="B542" s="572"/>
      <c r="C542" s="572"/>
      <c r="D542" s="572"/>
      <c r="E542" s="572"/>
      <c r="F542" s="93">
        <f t="shared" ref="F542:G542" si="72">F547</f>
        <v>3810.41</v>
      </c>
      <c r="G542" s="93">
        <f t="shared" si="72"/>
        <v>3981.6842524387812</v>
      </c>
      <c r="H542" s="93">
        <f>H544</f>
        <v>6000</v>
      </c>
      <c r="I542" s="93">
        <f>I544</f>
        <v>7800</v>
      </c>
      <c r="J542" s="93"/>
      <c r="K542" s="94">
        <f>K545+K549</f>
        <v>15143.4</v>
      </c>
    </row>
    <row r="543" spans="1:12" x14ac:dyDescent="0.25">
      <c r="A543" s="294"/>
      <c r="B543" s="294"/>
      <c r="C543" s="294"/>
      <c r="D543" s="294"/>
      <c r="E543" s="294"/>
      <c r="F543" s="40"/>
      <c r="G543" s="40"/>
      <c r="H543" s="40"/>
      <c r="I543" s="40"/>
      <c r="J543" s="40"/>
      <c r="K543" s="40"/>
    </row>
    <row r="544" spans="1:12" x14ac:dyDescent="0.25">
      <c r="A544" s="166">
        <v>3</v>
      </c>
      <c r="B544" s="166" t="s">
        <v>18</v>
      </c>
      <c r="C544" s="166"/>
      <c r="D544" s="166"/>
      <c r="E544" s="166"/>
      <c r="F544" s="79"/>
      <c r="G544" s="79">
        <f>G547</f>
        <v>3981.6842524387812</v>
      </c>
      <c r="H544" s="79">
        <f>H547</f>
        <v>6000</v>
      </c>
      <c r="I544" s="79">
        <f>I545+I547</f>
        <v>7800</v>
      </c>
      <c r="J544" s="79"/>
      <c r="K544" s="79"/>
    </row>
    <row r="545" spans="1:15" x14ac:dyDescent="0.25">
      <c r="A545" s="166">
        <v>32</v>
      </c>
      <c r="B545" s="166" t="s">
        <v>155</v>
      </c>
      <c r="C545" s="166"/>
      <c r="D545" s="166"/>
      <c r="E545" s="166"/>
      <c r="F545" s="79"/>
      <c r="G545" s="79"/>
      <c r="H545" s="79"/>
      <c r="I545" s="79">
        <f>I546</f>
        <v>1800</v>
      </c>
      <c r="J545" s="79"/>
      <c r="K545" s="79">
        <f>7210+3900</f>
        <v>11110</v>
      </c>
    </row>
    <row r="546" spans="1:15" x14ac:dyDescent="0.25">
      <c r="A546" s="71">
        <v>323</v>
      </c>
      <c r="B546" s="71" t="s">
        <v>723</v>
      </c>
      <c r="C546" s="71"/>
      <c r="D546" s="71"/>
      <c r="E546" s="71"/>
      <c r="F546" s="72"/>
      <c r="G546" s="72"/>
      <c r="H546" s="72"/>
      <c r="I546" s="72">
        <v>1800</v>
      </c>
      <c r="J546" s="72"/>
      <c r="K546" s="72"/>
      <c r="L546" s="33" t="s">
        <v>791</v>
      </c>
      <c r="O546" s="33">
        <f>24*75</f>
        <v>1800</v>
      </c>
    </row>
    <row r="547" spans="1:15" x14ac:dyDescent="0.25">
      <c r="A547" s="166">
        <v>36</v>
      </c>
      <c r="B547" s="166" t="s">
        <v>239</v>
      </c>
      <c r="C547" s="166"/>
      <c r="D547" s="166"/>
      <c r="E547" s="166"/>
      <c r="F547" s="79">
        <f t="shared" ref="F547:G547" si="73">F548</f>
        <v>3810.41</v>
      </c>
      <c r="G547" s="79">
        <f t="shared" si="73"/>
        <v>3981.6842524387812</v>
      </c>
      <c r="H547" s="79">
        <f>H548</f>
        <v>6000</v>
      </c>
      <c r="I547" s="79">
        <f>I548</f>
        <v>6000</v>
      </c>
      <c r="J547" s="79"/>
      <c r="K547" s="79"/>
    </row>
    <row r="548" spans="1:15" x14ac:dyDescent="0.25">
      <c r="A548" s="166">
        <v>363</v>
      </c>
      <c r="B548" s="166" t="s">
        <v>239</v>
      </c>
      <c r="C548" s="166"/>
      <c r="D548" s="166"/>
      <c r="E548" s="166"/>
      <c r="F548" s="79">
        <f>SUM(F549:F550)</f>
        <v>3810.41</v>
      </c>
      <c r="G548" s="79">
        <f>SUM(G549:G550)</f>
        <v>3981.6842524387812</v>
      </c>
      <c r="H548" s="79">
        <f>H549+H550</f>
        <v>6000</v>
      </c>
      <c r="I548" s="79">
        <f>I549</f>
        <v>6000</v>
      </c>
      <c r="J548" s="79"/>
      <c r="K548" s="79"/>
    </row>
    <row r="549" spans="1:15" x14ac:dyDescent="0.25">
      <c r="A549" s="286">
        <v>3631</v>
      </c>
      <c r="B549" s="71" t="s">
        <v>525</v>
      </c>
      <c r="C549" s="286"/>
      <c r="D549" s="286"/>
      <c r="E549" s="286"/>
      <c r="F549" s="40">
        <v>3810.41</v>
      </c>
      <c r="G549" s="40">
        <f>30000/7.5345</f>
        <v>3981.6842524387812</v>
      </c>
      <c r="H549" s="40">
        <v>6000</v>
      </c>
      <c r="I549" s="40">
        <v>6000</v>
      </c>
      <c r="J549" s="40"/>
      <c r="K549" s="40">
        <f>3813.4+120+100</f>
        <v>4033.4</v>
      </c>
    </row>
    <row r="550" spans="1:15" x14ac:dyDescent="0.25">
      <c r="A550" s="71"/>
      <c r="B550" s="71" t="s">
        <v>747</v>
      </c>
      <c r="C550" s="71"/>
      <c r="D550" s="71"/>
      <c r="E550" s="286"/>
      <c r="F550" s="40"/>
      <c r="G550" s="40"/>
      <c r="H550" s="40"/>
      <c r="I550" s="40"/>
      <c r="J550" s="40"/>
      <c r="K550" s="40"/>
    </row>
    <row r="551" spans="1:15" x14ac:dyDescent="0.25">
      <c r="A551" s="71"/>
      <c r="B551" s="71"/>
      <c r="C551" s="71"/>
      <c r="D551" s="71"/>
      <c r="E551" s="286"/>
      <c r="F551" s="40"/>
      <c r="G551" s="40"/>
      <c r="H551" s="40"/>
      <c r="I551" s="40"/>
      <c r="J551" s="40"/>
      <c r="K551" s="40"/>
    </row>
    <row r="552" spans="1:15" x14ac:dyDescent="0.25">
      <c r="A552" s="292" t="s">
        <v>443</v>
      </c>
      <c r="B552" s="292"/>
      <c r="C552" s="292"/>
      <c r="D552" s="292"/>
      <c r="E552" s="276"/>
      <c r="F552" s="276"/>
      <c r="G552" s="276"/>
      <c r="H552" s="276"/>
      <c r="I552" s="276"/>
      <c r="J552" s="276"/>
      <c r="K552" s="307"/>
      <c r="L552" s="265"/>
    </row>
    <row r="553" spans="1:15" x14ac:dyDescent="0.25">
      <c r="A553" s="314" t="s">
        <v>385</v>
      </c>
      <c r="B553" s="314"/>
      <c r="C553" s="314"/>
      <c r="D553" s="314"/>
      <c r="E553" s="315"/>
      <c r="F553" s="40"/>
      <c r="G553" s="309"/>
      <c r="H553" s="278">
        <f>H555</f>
        <v>4000</v>
      </c>
      <c r="I553" s="278">
        <f>I555</f>
        <v>4000</v>
      </c>
      <c r="J553" s="278"/>
      <c r="K553" s="278">
        <f>K558</f>
        <v>3640</v>
      </c>
    </row>
    <row r="554" spans="1:15" x14ac:dyDescent="0.25">
      <c r="A554" s="71"/>
      <c r="B554" s="71"/>
      <c r="C554" s="71"/>
      <c r="D554" s="71"/>
      <c r="E554" s="71"/>
      <c r="F554" s="40"/>
      <c r="G554" s="40"/>
      <c r="H554" s="40"/>
      <c r="I554" s="40"/>
      <c r="J554" s="40"/>
      <c r="K554" s="40"/>
    </row>
    <row r="555" spans="1:15" x14ac:dyDescent="0.25">
      <c r="A555" s="166">
        <v>3</v>
      </c>
      <c r="B555" s="166" t="s">
        <v>18</v>
      </c>
      <c r="C555" s="71"/>
      <c r="D555" s="71"/>
      <c r="E555" s="71"/>
      <c r="F555" s="40"/>
      <c r="G555" s="40"/>
      <c r="H555" s="242">
        <f t="shared" ref="H555:I557" si="74">H556</f>
        <v>4000</v>
      </c>
      <c r="I555" s="242">
        <f t="shared" si="74"/>
        <v>4000</v>
      </c>
      <c r="J555" s="242"/>
      <c r="K555" s="242"/>
    </row>
    <row r="556" spans="1:15" x14ac:dyDescent="0.25">
      <c r="A556" s="166">
        <v>37</v>
      </c>
      <c r="B556" s="166" t="s">
        <v>163</v>
      </c>
      <c r="C556" s="71"/>
      <c r="D556" s="71"/>
      <c r="E556" s="71"/>
      <c r="F556" s="40"/>
      <c r="G556" s="40"/>
      <c r="H556" s="242">
        <f t="shared" si="74"/>
        <v>4000</v>
      </c>
      <c r="I556" s="242">
        <f t="shared" si="74"/>
        <v>4000</v>
      </c>
      <c r="J556" s="242"/>
      <c r="K556" s="242"/>
    </row>
    <row r="557" spans="1:15" x14ac:dyDescent="0.25">
      <c r="A557" s="166">
        <v>372</v>
      </c>
      <c r="B557" s="166" t="s">
        <v>163</v>
      </c>
      <c r="C557" s="71"/>
      <c r="D557" s="71"/>
      <c r="E557" s="71"/>
      <c r="F557" s="40"/>
      <c r="G557" s="40"/>
      <c r="H557" s="242">
        <f t="shared" si="74"/>
        <v>4000</v>
      </c>
      <c r="I557" s="242">
        <f t="shared" si="74"/>
        <v>4000</v>
      </c>
      <c r="J557" s="242"/>
      <c r="K557" s="242"/>
    </row>
    <row r="558" spans="1:15" x14ac:dyDescent="0.25">
      <c r="A558" s="71">
        <v>3721</v>
      </c>
      <c r="B558" s="71" t="s">
        <v>317</v>
      </c>
      <c r="C558" s="71"/>
      <c r="D558" s="71"/>
      <c r="E558" s="71"/>
      <c r="F558" s="40"/>
      <c r="G558" s="40"/>
      <c r="H558" s="40">
        <v>4000</v>
      </c>
      <c r="I558" s="40">
        <v>4000</v>
      </c>
      <c r="J558" s="40"/>
      <c r="K558" s="40">
        <v>3640</v>
      </c>
      <c r="L558" s="33" t="s">
        <v>746</v>
      </c>
      <c r="M558" s="33">
        <f>40*92</f>
        <v>3680</v>
      </c>
    </row>
    <row r="559" spans="1:15" x14ac:dyDescent="0.25">
      <c r="A559" s="71"/>
      <c r="B559" s="71"/>
      <c r="C559" s="71"/>
      <c r="D559" s="71"/>
      <c r="E559" s="286"/>
      <c r="F559" s="72"/>
      <c r="G559" s="40"/>
      <c r="H559" s="40"/>
      <c r="I559" s="40"/>
      <c r="J559" s="40"/>
      <c r="K559" s="40"/>
    </row>
    <row r="560" spans="1:15" x14ac:dyDescent="0.25">
      <c r="A560" s="292" t="s">
        <v>444</v>
      </c>
      <c r="B560" s="292"/>
      <c r="C560" s="292"/>
      <c r="D560" s="292"/>
      <c r="E560" s="276"/>
      <c r="F560" s="276"/>
      <c r="G560" s="276"/>
      <c r="H560" s="276"/>
      <c r="I560" s="276"/>
      <c r="J560" s="276"/>
      <c r="K560" s="307"/>
      <c r="L560" s="265"/>
    </row>
    <row r="561" spans="1:12" x14ac:dyDescent="0.25">
      <c r="A561" s="573" t="s">
        <v>299</v>
      </c>
      <c r="B561" s="573"/>
      <c r="C561" s="573"/>
      <c r="D561" s="573"/>
      <c r="E561" s="573"/>
      <c r="F561" s="94">
        <f t="shared" ref="F561:G561" si="75">F564</f>
        <v>17250</v>
      </c>
      <c r="G561" s="94">
        <f t="shared" si="75"/>
        <v>3318.0702103656513</v>
      </c>
      <c r="H561" s="94">
        <f>H563</f>
        <v>3500</v>
      </c>
      <c r="I561" s="94">
        <f>I563</f>
        <v>3000</v>
      </c>
      <c r="J561" s="94"/>
      <c r="K561" s="94"/>
    </row>
    <row r="562" spans="1:12" x14ac:dyDescent="0.25">
      <c r="A562" s="294"/>
      <c r="B562" s="294"/>
      <c r="C562" s="294"/>
      <c r="D562" s="294"/>
      <c r="E562" s="294"/>
      <c r="F562" s="40"/>
      <c r="G562" s="40"/>
      <c r="H562" s="40"/>
      <c r="I562" s="40"/>
      <c r="J562" s="40"/>
      <c r="K562" s="40"/>
    </row>
    <row r="563" spans="1:12" x14ac:dyDescent="0.25">
      <c r="A563" s="166">
        <v>3</v>
      </c>
      <c r="B563" s="166" t="s">
        <v>18</v>
      </c>
      <c r="C563" s="166"/>
      <c r="D563" s="166"/>
      <c r="E563" s="166"/>
      <c r="F563" s="79"/>
      <c r="G563" s="79">
        <f>G564</f>
        <v>3318.0702103656513</v>
      </c>
      <c r="H563" s="79">
        <f>H564</f>
        <v>3500</v>
      </c>
      <c r="I563" s="79">
        <f>I564</f>
        <v>3000</v>
      </c>
      <c r="J563" s="79"/>
      <c r="K563" s="79"/>
    </row>
    <row r="564" spans="1:12" x14ac:dyDescent="0.25">
      <c r="A564" s="166">
        <v>37</v>
      </c>
      <c r="B564" s="166" t="s">
        <v>163</v>
      </c>
      <c r="C564" s="166"/>
      <c r="D564" s="166"/>
      <c r="E564" s="166"/>
      <c r="F564" s="79">
        <f t="shared" ref="F564:G565" si="76">F565</f>
        <v>17250</v>
      </c>
      <c r="G564" s="79">
        <f t="shared" si="76"/>
        <v>3318.0702103656513</v>
      </c>
      <c r="H564" s="79">
        <f>H565</f>
        <v>3500</v>
      </c>
      <c r="I564" s="79">
        <f>I565</f>
        <v>3000</v>
      </c>
      <c r="J564" s="79"/>
      <c r="K564" s="79"/>
    </row>
    <row r="565" spans="1:12" x14ac:dyDescent="0.25">
      <c r="A565" s="166">
        <v>372</v>
      </c>
      <c r="B565" s="166" t="s">
        <v>163</v>
      </c>
      <c r="C565" s="166"/>
      <c r="D565" s="166"/>
      <c r="E565" s="166"/>
      <c r="F565" s="79">
        <f t="shared" si="76"/>
        <v>17250</v>
      </c>
      <c r="G565" s="79">
        <f t="shared" si="76"/>
        <v>3318.0702103656513</v>
      </c>
      <c r="H565" s="79">
        <f>H566</f>
        <v>3500</v>
      </c>
      <c r="I565" s="79">
        <f>I566</f>
        <v>3000</v>
      </c>
      <c r="J565" s="79"/>
      <c r="K565" s="79"/>
    </row>
    <row r="566" spans="1:12" x14ac:dyDescent="0.25">
      <c r="A566" s="71">
        <v>3721</v>
      </c>
      <c r="B566" s="71" t="s">
        <v>300</v>
      </c>
      <c r="C566" s="71"/>
      <c r="D566" s="71"/>
      <c r="E566" s="71"/>
      <c r="F566" s="40">
        <v>17250</v>
      </c>
      <c r="G566" s="40">
        <f>25000/7.5345</f>
        <v>3318.0702103656513</v>
      </c>
      <c r="H566" s="40">
        <v>3500</v>
      </c>
      <c r="I566" s="40">
        <v>3000</v>
      </c>
      <c r="J566" s="40"/>
      <c r="K566" s="40"/>
      <c r="L566" s="33" t="s">
        <v>466</v>
      </c>
    </row>
    <row r="567" spans="1:12" x14ac:dyDescent="0.25">
      <c r="A567" s="286"/>
      <c r="B567" s="286"/>
      <c r="C567" s="286"/>
      <c r="D567" s="286"/>
      <c r="E567" s="286"/>
      <c r="F567" s="40"/>
      <c r="G567" s="40"/>
      <c r="H567" s="40"/>
      <c r="I567" s="40"/>
      <c r="J567" s="40"/>
      <c r="K567" s="40"/>
    </row>
    <row r="568" spans="1:12" x14ac:dyDescent="0.25">
      <c r="A568" s="577" t="s">
        <v>403</v>
      </c>
      <c r="B568" s="577"/>
      <c r="C568" s="577"/>
      <c r="D568" s="577"/>
      <c r="E568" s="577"/>
      <c r="F568" s="82">
        <f t="shared" ref="F568" si="77">F570</f>
        <v>31500</v>
      </c>
      <c r="G568" s="82">
        <f>G570</f>
        <v>11281.438715243214</v>
      </c>
      <c r="H568" s="82">
        <f>H570</f>
        <v>10000</v>
      </c>
      <c r="I568" s="82">
        <f>I570</f>
        <v>10000</v>
      </c>
      <c r="J568" s="82"/>
      <c r="K568" s="79"/>
    </row>
    <row r="569" spans="1:12" x14ac:dyDescent="0.25">
      <c r="A569" s="292" t="s">
        <v>445</v>
      </c>
      <c r="B569" s="292"/>
      <c r="C569" s="292"/>
      <c r="D569" s="292"/>
      <c r="E569" s="276"/>
      <c r="F569" s="276"/>
      <c r="G569" s="276"/>
      <c r="H569" s="276"/>
      <c r="I569" s="276"/>
      <c r="J569" s="276"/>
      <c r="K569" s="307"/>
      <c r="L569" s="265"/>
    </row>
    <row r="570" spans="1:12" x14ac:dyDescent="0.25">
      <c r="A570" s="96" t="s">
        <v>91</v>
      </c>
      <c r="B570" s="99"/>
      <c r="C570" s="99"/>
      <c r="D570" s="99"/>
      <c r="E570" s="99"/>
      <c r="F570" s="93">
        <f t="shared" ref="F570:G570" si="78">F574</f>
        <v>31500</v>
      </c>
      <c r="G570" s="93">
        <f t="shared" si="78"/>
        <v>11281.438715243214</v>
      </c>
      <c r="H570" s="93">
        <f>H572</f>
        <v>10000</v>
      </c>
      <c r="I570" s="93">
        <f>I572</f>
        <v>10000</v>
      </c>
      <c r="J570" s="93"/>
      <c r="K570" s="94">
        <f>K575</f>
        <v>4200</v>
      </c>
    </row>
    <row r="571" spans="1:12" x14ac:dyDescent="0.25">
      <c r="A571" s="294"/>
      <c r="B571" s="294"/>
      <c r="C571" s="294"/>
      <c r="D571" s="294"/>
      <c r="E571" s="294"/>
      <c r="F571" s="40"/>
      <c r="G571" s="40"/>
      <c r="H571" s="40"/>
      <c r="I571" s="40"/>
      <c r="J571" s="40"/>
      <c r="K571" s="40"/>
    </row>
    <row r="572" spans="1:12" x14ac:dyDescent="0.25">
      <c r="A572" s="166">
        <v>3</v>
      </c>
      <c r="B572" s="166" t="s">
        <v>18</v>
      </c>
      <c r="C572" s="166"/>
      <c r="D572" s="166"/>
      <c r="E572" s="166"/>
      <c r="F572" s="79"/>
      <c r="G572" s="79">
        <f t="shared" ref="G572:I573" si="79">G573</f>
        <v>11281.438715243214</v>
      </c>
      <c r="H572" s="79">
        <f t="shared" si="79"/>
        <v>10000</v>
      </c>
      <c r="I572" s="79">
        <f t="shared" si="79"/>
        <v>10000</v>
      </c>
      <c r="J572" s="79"/>
      <c r="K572" s="79"/>
    </row>
    <row r="573" spans="1:12" x14ac:dyDescent="0.25">
      <c r="A573" s="166">
        <v>37</v>
      </c>
      <c r="B573" s="570" t="s">
        <v>163</v>
      </c>
      <c r="C573" s="570"/>
      <c r="D573" s="570"/>
      <c r="E573" s="570"/>
      <c r="F573" s="40"/>
      <c r="G573" s="79">
        <f t="shared" si="79"/>
        <v>11281.438715243214</v>
      </c>
      <c r="H573" s="79">
        <f t="shared" si="79"/>
        <v>10000</v>
      </c>
      <c r="I573" s="79">
        <f t="shared" si="79"/>
        <v>10000</v>
      </c>
      <c r="J573" s="79"/>
      <c r="K573" s="79"/>
    </row>
    <row r="574" spans="1:12" x14ac:dyDescent="0.25">
      <c r="A574" s="166">
        <v>372</v>
      </c>
      <c r="B574" s="166" t="s">
        <v>163</v>
      </c>
      <c r="C574" s="166"/>
      <c r="D574" s="166"/>
      <c r="E574" s="166"/>
      <c r="F574" s="79">
        <f t="shared" ref="F574:G574" si="80">F575</f>
        <v>31500</v>
      </c>
      <c r="G574" s="79">
        <f t="shared" si="80"/>
        <v>11281.438715243214</v>
      </c>
      <c r="H574" s="79">
        <f>H575</f>
        <v>10000</v>
      </c>
      <c r="I574" s="79">
        <f>I575</f>
        <v>10000</v>
      </c>
      <c r="J574" s="79"/>
      <c r="K574" s="79"/>
    </row>
    <row r="575" spans="1:12" x14ac:dyDescent="0.25">
      <c r="A575" s="71">
        <v>3721</v>
      </c>
      <c r="B575" s="71" t="s">
        <v>301</v>
      </c>
      <c r="C575" s="71"/>
      <c r="D575" s="71"/>
      <c r="E575" s="71"/>
      <c r="F575" s="40">
        <v>31500</v>
      </c>
      <c r="G575" s="40">
        <f>85000/7.5345</f>
        <v>11281.438715243214</v>
      </c>
      <c r="H575" s="40">
        <f>12000-2000</f>
        <v>10000</v>
      </c>
      <c r="I575" s="40">
        <v>10000</v>
      </c>
      <c r="J575" s="40"/>
      <c r="K575" s="40">
        <v>4200</v>
      </c>
      <c r="L575" s="33" t="s">
        <v>813</v>
      </c>
    </row>
    <row r="576" spans="1:12" x14ac:dyDescent="0.25">
      <c r="A576" s="286"/>
      <c r="B576" s="286"/>
      <c r="C576" s="286"/>
      <c r="D576" s="286"/>
      <c r="E576" s="286"/>
      <c r="F576" s="40"/>
      <c r="G576" s="40"/>
      <c r="H576" s="40"/>
      <c r="I576" s="40"/>
      <c r="J576" s="40"/>
      <c r="K576" s="40"/>
    </row>
    <row r="577" spans="1:14" x14ac:dyDescent="0.25">
      <c r="A577" s="576" t="s">
        <v>302</v>
      </c>
      <c r="B577" s="576"/>
      <c r="C577" s="576"/>
      <c r="D577" s="576"/>
      <c r="E577" s="576"/>
      <c r="F577" s="101">
        <f>F582+F589</f>
        <v>95415.57</v>
      </c>
      <c r="G577" s="101">
        <f>G582+G589</f>
        <v>30791.691552193242</v>
      </c>
      <c r="H577" s="101">
        <f>H578+H589</f>
        <v>37500</v>
      </c>
      <c r="I577" s="101">
        <f>I578+I589</f>
        <v>37500</v>
      </c>
      <c r="J577" s="101"/>
      <c r="K577" s="272"/>
    </row>
    <row r="578" spans="1:14" x14ac:dyDescent="0.25">
      <c r="A578" s="577" t="s">
        <v>94</v>
      </c>
      <c r="B578" s="577"/>
      <c r="C578" s="577"/>
      <c r="D578" s="577"/>
      <c r="E578" s="577"/>
      <c r="F578" s="82">
        <f>F582</f>
        <v>83415.570000000007</v>
      </c>
      <c r="G578" s="82">
        <f>G582</f>
        <v>27871.78976707147</v>
      </c>
      <c r="H578" s="82">
        <f>H580</f>
        <v>34000</v>
      </c>
      <c r="I578" s="82">
        <f>I580</f>
        <v>34000</v>
      </c>
      <c r="J578" s="82"/>
      <c r="K578" s="79"/>
    </row>
    <row r="579" spans="1:14" x14ac:dyDescent="0.25">
      <c r="A579" s="292" t="s">
        <v>446</v>
      </c>
      <c r="B579" s="292"/>
      <c r="C579" s="292"/>
      <c r="D579" s="292"/>
      <c r="E579" s="276"/>
      <c r="F579" s="276"/>
      <c r="G579" s="276"/>
      <c r="H579" s="276"/>
      <c r="I579" s="276"/>
      <c r="J579" s="276"/>
      <c r="K579" s="307"/>
      <c r="L579" s="265"/>
    </row>
    <row r="580" spans="1:14" ht="30.75" customHeight="1" x14ac:dyDescent="0.25">
      <c r="A580" s="578" t="s">
        <v>303</v>
      </c>
      <c r="B580" s="578"/>
      <c r="C580" s="578"/>
      <c r="D580" s="578"/>
      <c r="E580" s="578"/>
      <c r="F580" s="289"/>
      <c r="G580" s="93">
        <f>G582+G594</f>
        <v>30791.691552193242</v>
      </c>
      <c r="H580" s="93">
        <f>H582</f>
        <v>34000</v>
      </c>
      <c r="I580" s="93">
        <f>I582</f>
        <v>34000</v>
      </c>
      <c r="J580" s="93"/>
      <c r="K580" s="94">
        <f>K585+K587</f>
        <v>24962.59</v>
      </c>
    </row>
    <row r="581" spans="1:14" x14ac:dyDescent="0.25">
      <c r="A581" s="286"/>
      <c r="B581" s="286"/>
      <c r="C581" s="286"/>
      <c r="D581" s="286"/>
      <c r="E581" s="286"/>
      <c r="F581" s="79"/>
      <c r="G581" s="79"/>
      <c r="H581" s="79"/>
      <c r="I581" s="79"/>
      <c r="J581" s="79"/>
      <c r="K581" s="79"/>
    </row>
    <row r="582" spans="1:14" x14ac:dyDescent="0.25">
      <c r="A582" s="166">
        <v>3</v>
      </c>
      <c r="B582" s="166" t="s">
        <v>18</v>
      </c>
      <c r="C582" s="166"/>
      <c r="D582" s="166"/>
      <c r="E582" s="285"/>
      <c r="F582" s="79">
        <f>F583+F586</f>
        <v>83415.570000000007</v>
      </c>
      <c r="G582" s="79">
        <f>G583+G586</f>
        <v>27871.78976707147</v>
      </c>
      <c r="H582" s="79">
        <f>H583+H586</f>
        <v>34000</v>
      </c>
      <c r="I582" s="79">
        <f>I583+I586</f>
        <v>34000</v>
      </c>
      <c r="J582" s="79"/>
      <c r="K582" s="79"/>
    </row>
    <row r="583" spans="1:14" x14ac:dyDescent="0.25">
      <c r="A583" s="166">
        <v>36</v>
      </c>
      <c r="B583" s="166" t="s">
        <v>239</v>
      </c>
      <c r="C583" s="166"/>
      <c r="D583" s="166"/>
      <c r="E583" s="166"/>
      <c r="F583" s="79">
        <f t="shared" ref="F583:G583" si="81">F585</f>
        <v>8415.57</v>
      </c>
      <c r="G583" s="79">
        <f t="shared" si="81"/>
        <v>14599.508925608865</v>
      </c>
      <c r="H583" s="79">
        <f>H584</f>
        <v>14000</v>
      </c>
      <c r="I583" s="79">
        <f>I584</f>
        <v>14000</v>
      </c>
      <c r="J583" s="79"/>
      <c r="K583" s="79"/>
    </row>
    <row r="584" spans="1:14" x14ac:dyDescent="0.25">
      <c r="A584" s="166">
        <v>363</v>
      </c>
      <c r="B584" s="166" t="s">
        <v>239</v>
      </c>
      <c r="C584" s="166"/>
      <c r="D584" s="166"/>
      <c r="E584" s="166"/>
      <c r="F584" s="79">
        <f t="shared" ref="F584:G584" si="82">F585</f>
        <v>8415.57</v>
      </c>
      <c r="G584" s="79">
        <f t="shared" si="82"/>
        <v>14599.508925608865</v>
      </c>
      <c r="H584" s="79">
        <f>H585</f>
        <v>14000</v>
      </c>
      <c r="I584" s="79">
        <f>I585</f>
        <v>14000</v>
      </c>
      <c r="J584" s="79"/>
      <c r="K584" s="79"/>
    </row>
    <row r="585" spans="1:14" x14ac:dyDescent="0.25">
      <c r="A585" s="286">
        <v>3631</v>
      </c>
      <c r="B585" s="286" t="s">
        <v>304</v>
      </c>
      <c r="C585" s="286"/>
      <c r="D585" s="286"/>
      <c r="E585" s="286"/>
      <c r="F585" s="72">
        <v>8415.57</v>
      </c>
      <c r="G585" s="72">
        <f>110000/7.5345</f>
        <v>14599.508925608865</v>
      </c>
      <c r="H585" s="72">
        <v>14000</v>
      </c>
      <c r="I585" s="72">
        <v>14000</v>
      </c>
      <c r="J585" s="72"/>
      <c r="K585" s="72">
        <v>2962.59</v>
      </c>
    </row>
    <row r="586" spans="1:14" x14ac:dyDescent="0.25">
      <c r="A586" s="166">
        <v>38</v>
      </c>
      <c r="B586" s="166" t="s">
        <v>165</v>
      </c>
      <c r="C586" s="166"/>
      <c r="D586" s="166"/>
      <c r="E586" s="166"/>
      <c r="F586" s="79">
        <f t="shared" ref="F586:G586" si="83">F587</f>
        <v>75000</v>
      </c>
      <c r="G586" s="79">
        <f t="shared" si="83"/>
        <v>13272.280841462605</v>
      </c>
      <c r="H586" s="79">
        <f>H587</f>
        <v>20000</v>
      </c>
      <c r="I586" s="79">
        <f>I587</f>
        <v>20000</v>
      </c>
      <c r="J586" s="79"/>
      <c r="K586" s="79"/>
    </row>
    <row r="587" spans="1:14" x14ac:dyDescent="0.25">
      <c r="A587" s="166">
        <v>381</v>
      </c>
      <c r="B587" s="166" t="s">
        <v>305</v>
      </c>
      <c r="C587" s="166"/>
      <c r="D587" s="166"/>
      <c r="E587" s="166"/>
      <c r="F587" s="40">
        <v>75000</v>
      </c>
      <c r="G587" s="72">
        <f>100000/7.5345</f>
        <v>13272.280841462605</v>
      </c>
      <c r="H587" s="72">
        <v>20000</v>
      </c>
      <c r="I587" s="72">
        <v>20000</v>
      </c>
      <c r="J587" s="72"/>
      <c r="K587" s="72">
        <v>22000</v>
      </c>
      <c r="L587" s="122" t="s">
        <v>823</v>
      </c>
      <c r="M587" s="122"/>
      <c r="N587" s="122"/>
    </row>
    <row r="588" spans="1:14" x14ac:dyDescent="0.25">
      <c r="A588" s="71"/>
      <c r="B588" s="286"/>
      <c r="C588" s="286"/>
      <c r="D588" s="286"/>
      <c r="E588" s="286"/>
      <c r="F588" s="40"/>
      <c r="G588" s="79"/>
      <c r="H588" s="79"/>
      <c r="I588" s="79"/>
      <c r="J588" s="79"/>
      <c r="K588" s="79"/>
    </row>
    <row r="589" spans="1:14" x14ac:dyDescent="0.25">
      <c r="A589" s="81" t="s">
        <v>95</v>
      </c>
      <c r="B589" s="81"/>
      <c r="C589" s="81"/>
      <c r="D589" s="81"/>
      <c r="E589" s="81"/>
      <c r="F589" s="82">
        <f t="shared" ref="F589" si="84">F594</f>
        <v>12000</v>
      </c>
      <c r="G589" s="82">
        <f>G594</f>
        <v>2919.9017851217732</v>
      </c>
      <c r="H589" s="82">
        <f>H591</f>
        <v>3500</v>
      </c>
      <c r="I589" s="82">
        <f>I591</f>
        <v>3500</v>
      </c>
      <c r="J589" s="82"/>
      <c r="K589" s="79"/>
    </row>
    <row r="590" spans="1:14" x14ac:dyDescent="0.25">
      <c r="A590" s="292" t="s">
        <v>447</v>
      </c>
      <c r="B590" s="292"/>
      <c r="C590" s="292"/>
      <c r="D590" s="292"/>
      <c r="E590" s="276"/>
      <c r="F590" s="276"/>
      <c r="G590" s="276"/>
      <c r="H590" s="276"/>
      <c r="I590" s="276"/>
      <c r="J590" s="276"/>
      <c r="K590" s="307"/>
      <c r="L590" s="265"/>
    </row>
    <row r="591" spans="1:14" x14ac:dyDescent="0.25">
      <c r="A591" s="579" t="s">
        <v>516</v>
      </c>
      <c r="B591" s="579"/>
      <c r="C591" s="579"/>
      <c r="D591" s="579"/>
      <c r="E591" s="579"/>
      <c r="F591" s="276"/>
      <c r="G591" s="316"/>
      <c r="H591" s="279">
        <f>H593</f>
        <v>3500</v>
      </c>
      <c r="I591" s="279">
        <f>I593</f>
        <v>3500</v>
      </c>
      <c r="J591" s="279"/>
      <c r="K591" s="279">
        <f>K597</f>
        <v>2000</v>
      </c>
      <c r="L591" s="167"/>
    </row>
    <row r="592" spans="1:14" x14ac:dyDescent="0.25">
      <c r="A592" s="285"/>
      <c r="B592" s="285"/>
      <c r="C592" s="285"/>
      <c r="D592" s="285"/>
      <c r="E592" s="285"/>
      <c r="F592" s="40"/>
      <c r="G592" s="40"/>
      <c r="H592" s="40"/>
      <c r="I592" s="40"/>
      <c r="J592" s="40"/>
      <c r="K592" s="40"/>
    </row>
    <row r="593" spans="1:16" x14ac:dyDescent="0.25">
      <c r="A593" s="166">
        <v>3</v>
      </c>
      <c r="B593" s="166" t="s">
        <v>18</v>
      </c>
      <c r="C593" s="166"/>
      <c r="D593" s="166"/>
      <c r="E593" s="166"/>
      <c r="F593" s="79"/>
      <c r="G593" s="79">
        <f>G594</f>
        <v>2919.9017851217732</v>
      </c>
      <c r="H593" s="79">
        <f>H594</f>
        <v>3500</v>
      </c>
      <c r="I593" s="79">
        <f>I594</f>
        <v>3500</v>
      </c>
      <c r="J593" s="79"/>
      <c r="K593" s="79"/>
    </row>
    <row r="594" spans="1:16" x14ac:dyDescent="0.25">
      <c r="A594" s="166">
        <v>38</v>
      </c>
      <c r="B594" s="166" t="s">
        <v>165</v>
      </c>
      <c r="C594" s="166"/>
      <c r="D594" s="166"/>
      <c r="E594" s="166"/>
      <c r="F594" s="79">
        <f t="shared" ref="F594:G594" si="85">SUM(F596:F597)</f>
        <v>12000</v>
      </c>
      <c r="G594" s="79">
        <f t="shared" si="85"/>
        <v>2919.9017851217732</v>
      </c>
      <c r="H594" s="79">
        <f>H595</f>
        <v>3500</v>
      </c>
      <c r="I594" s="79">
        <f>I595</f>
        <v>3500</v>
      </c>
      <c r="J594" s="79"/>
      <c r="K594" s="79"/>
    </row>
    <row r="595" spans="1:16" x14ac:dyDescent="0.25">
      <c r="A595" s="166">
        <v>381</v>
      </c>
      <c r="B595" s="166" t="s">
        <v>166</v>
      </c>
      <c r="C595" s="166"/>
      <c r="D595" s="166"/>
      <c r="E595" s="166"/>
      <c r="F595" s="79">
        <f t="shared" ref="F595:G595" si="86">SUM(F596:F597)</f>
        <v>12000</v>
      </c>
      <c r="G595" s="79">
        <f t="shared" si="86"/>
        <v>2919.9017851217732</v>
      </c>
      <c r="H595" s="79">
        <f>H596+H597</f>
        <v>3500</v>
      </c>
      <c r="I595" s="79">
        <f>I596+I597</f>
        <v>3500</v>
      </c>
      <c r="J595" s="79"/>
      <c r="K595" s="79"/>
    </row>
    <row r="596" spans="1:16" x14ac:dyDescent="0.25">
      <c r="A596" s="286">
        <v>3811</v>
      </c>
      <c r="B596" s="291" t="s">
        <v>465</v>
      </c>
      <c r="C596" s="291"/>
      <c r="D596" s="280"/>
      <c r="E596" s="291"/>
      <c r="F596" s="40"/>
      <c r="G596" s="40">
        <f>8000/7.5345</f>
        <v>1061.7824673170085</v>
      </c>
      <c r="H596" s="40">
        <v>1500</v>
      </c>
      <c r="I596" s="40">
        <v>1000</v>
      </c>
      <c r="J596" s="40"/>
      <c r="K596" s="40"/>
    </row>
    <row r="597" spans="1:16" x14ac:dyDescent="0.25">
      <c r="A597" s="286">
        <v>3811</v>
      </c>
      <c r="B597" s="71" t="s">
        <v>307</v>
      </c>
      <c r="C597" s="286"/>
      <c r="D597" s="286"/>
      <c r="E597" s="286"/>
      <c r="F597" s="40">
        <v>12000</v>
      </c>
      <c r="G597" s="40">
        <f>14000/7.5345</f>
        <v>1858.1193178047647</v>
      </c>
      <c r="H597" s="40">
        <v>2000</v>
      </c>
      <c r="I597" s="40">
        <v>2500</v>
      </c>
      <c r="J597" s="40"/>
      <c r="K597" s="40">
        <v>2000</v>
      </c>
      <c r="L597" s="33">
        <v>1858.12</v>
      </c>
    </row>
    <row r="598" spans="1:16" x14ac:dyDescent="0.25">
      <c r="A598" s="286"/>
      <c r="B598" s="71"/>
      <c r="C598" s="286"/>
      <c r="D598" s="286"/>
      <c r="E598" s="286"/>
      <c r="F598" s="40"/>
      <c r="G598" s="40"/>
      <c r="H598" s="40"/>
      <c r="I598" s="40"/>
      <c r="J598" s="40"/>
      <c r="K598" s="40"/>
    </row>
    <row r="599" spans="1:16" x14ac:dyDescent="0.25">
      <c r="A599" s="89" t="s">
        <v>96</v>
      </c>
      <c r="B599" s="89"/>
      <c r="C599" s="89"/>
      <c r="D599" s="89"/>
      <c r="E599" s="89"/>
      <c r="F599" s="90" t="e">
        <f>F600+F609+F618</f>
        <v>#REF!</v>
      </c>
      <c r="G599" s="90" t="e">
        <f>G600+G609+G618</f>
        <v>#REF!</v>
      </c>
      <c r="H599" s="90">
        <f>H600+H609+H618</f>
        <v>94000</v>
      </c>
      <c r="I599" s="90">
        <f>I600+I609+I618</f>
        <v>67000</v>
      </c>
      <c r="J599" s="90"/>
      <c r="K599" s="79"/>
    </row>
    <row r="600" spans="1:16" x14ac:dyDescent="0.25">
      <c r="A600" s="81" t="s">
        <v>97</v>
      </c>
      <c r="B600" s="81"/>
      <c r="C600" s="81"/>
      <c r="D600" s="81"/>
      <c r="E600" s="81"/>
      <c r="F600" s="82">
        <f t="shared" ref="F600" si="87">F602</f>
        <v>153000</v>
      </c>
      <c r="G600" s="82">
        <f>G602</f>
        <v>37162.386356095296</v>
      </c>
      <c r="H600" s="82">
        <f>H602</f>
        <v>55000</v>
      </c>
      <c r="I600" s="82">
        <f>I602</f>
        <v>57000</v>
      </c>
      <c r="J600" s="82"/>
      <c r="K600" s="79"/>
    </row>
    <row r="601" spans="1:16" x14ac:dyDescent="0.25">
      <c r="A601" s="292" t="s">
        <v>448</v>
      </c>
      <c r="B601" s="292"/>
      <c r="C601" s="292"/>
      <c r="D601" s="292"/>
      <c r="E601" s="276"/>
      <c r="F601" s="276"/>
      <c r="G601" s="276"/>
      <c r="H601" s="276"/>
      <c r="I601" s="276"/>
      <c r="J601" s="276"/>
      <c r="K601" s="307"/>
      <c r="L601" s="265"/>
    </row>
    <row r="602" spans="1:16" x14ac:dyDescent="0.25">
      <c r="A602" s="572" t="s">
        <v>308</v>
      </c>
      <c r="B602" s="572"/>
      <c r="C602" s="572"/>
      <c r="D602" s="572"/>
      <c r="E602" s="572"/>
      <c r="F602" s="93">
        <f t="shared" ref="F602:G602" si="88">F604</f>
        <v>153000</v>
      </c>
      <c r="G602" s="93">
        <f t="shared" si="88"/>
        <v>37162.386356095296</v>
      </c>
      <c r="H602" s="93">
        <f>H604</f>
        <v>55000</v>
      </c>
      <c r="I602" s="93">
        <f>I604</f>
        <v>57000</v>
      </c>
      <c r="J602" s="93"/>
      <c r="K602" s="94">
        <f>K607</f>
        <v>49000</v>
      </c>
    </row>
    <row r="603" spans="1:16" x14ac:dyDescent="0.25">
      <c r="A603" s="286"/>
      <c r="B603" s="71"/>
      <c r="C603" s="286"/>
      <c r="D603" s="286"/>
      <c r="E603" s="286"/>
      <c r="F603" s="40"/>
      <c r="G603" s="40"/>
      <c r="H603" s="40"/>
      <c r="I603" s="40"/>
      <c r="J603" s="40"/>
      <c r="K603" s="40"/>
    </row>
    <row r="604" spans="1:16" x14ac:dyDescent="0.25">
      <c r="A604" s="166">
        <v>3</v>
      </c>
      <c r="B604" s="166" t="s">
        <v>18</v>
      </c>
      <c r="C604" s="166"/>
      <c r="D604" s="166"/>
      <c r="E604" s="166"/>
      <c r="F604" s="79">
        <f t="shared" ref="F604:G604" si="89">F605</f>
        <v>153000</v>
      </c>
      <c r="G604" s="79">
        <f t="shared" si="89"/>
        <v>37162.386356095296</v>
      </c>
      <c r="H604" s="79">
        <f t="shared" ref="H604:I606" si="90">H605</f>
        <v>55000</v>
      </c>
      <c r="I604" s="79">
        <f t="shared" si="90"/>
        <v>57000</v>
      </c>
      <c r="J604" s="79"/>
      <c r="K604" s="79"/>
    </row>
    <row r="605" spans="1:16" x14ac:dyDescent="0.25">
      <c r="A605" s="166">
        <v>38</v>
      </c>
      <c r="B605" s="166" t="s">
        <v>165</v>
      </c>
      <c r="C605" s="166"/>
      <c r="D605" s="166"/>
      <c r="E605" s="166"/>
      <c r="F605" s="79">
        <f>F607</f>
        <v>153000</v>
      </c>
      <c r="G605" s="79">
        <f>G607</f>
        <v>37162.386356095296</v>
      </c>
      <c r="H605" s="79">
        <f t="shared" si="90"/>
        <v>55000</v>
      </c>
      <c r="I605" s="79">
        <f t="shared" si="90"/>
        <v>57000</v>
      </c>
      <c r="J605" s="79"/>
      <c r="K605" s="79"/>
    </row>
    <row r="606" spans="1:16" x14ac:dyDescent="0.25">
      <c r="A606" s="166">
        <v>381</v>
      </c>
      <c r="B606" s="166" t="s">
        <v>166</v>
      </c>
      <c r="C606" s="166"/>
      <c r="D606" s="166"/>
      <c r="E606" s="166"/>
      <c r="F606" s="79"/>
      <c r="G606" s="79">
        <f>G607</f>
        <v>37162.386356095296</v>
      </c>
      <c r="H606" s="79">
        <f t="shared" si="90"/>
        <v>55000</v>
      </c>
      <c r="I606" s="79">
        <f t="shared" si="90"/>
        <v>57000</v>
      </c>
      <c r="J606" s="79"/>
      <c r="K606" s="79"/>
    </row>
    <row r="607" spans="1:16" x14ac:dyDescent="0.25">
      <c r="A607" s="71">
        <v>3811</v>
      </c>
      <c r="B607" s="71" t="s">
        <v>309</v>
      </c>
      <c r="C607" s="71"/>
      <c r="D607" s="71"/>
      <c r="E607" s="71"/>
      <c r="F607" s="40">
        <v>153000</v>
      </c>
      <c r="G607" s="40">
        <f>280000/7.5345</f>
        <v>37162.386356095296</v>
      </c>
      <c r="H607" s="40">
        <v>55000</v>
      </c>
      <c r="I607" s="40">
        <v>57000</v>
      </c>
      <c r="J607" s="40"/>
      <c r="K607" s="40">
        <f>49000</f>
        <v>49000</v>
      </c>
      <c r="L607" s="33" t="s">
        <v>814</v>
      </c>
      <c r="M607" s="33" t="s">
        <v>815</v>
      </c>
      <c r="P607" s="33" t="s">
        <v>816</v>
      </c>
    </row>
    <row r="608" spans="1:16" x14ac:dyDescent="0.25">
      <c r="A608" s="286"/>
      <c r="B608" s="286"/>
      <c r="C608" s="286"/>
      <c r="D608" s="286"/>
      <c r="E608" s="286"/>
      <c r="F608" s="40"/>
      <c r="G608" s="40"/>
      <c r="H608" s="40"/>
      <c r="I608" s="40"/>
      <c r="J608" s="40"/>
      <c r="K608" s="40"/>
    </row>
    <row r="609" spans="1:23" x14ac:dyDescent="0.25">
      <c r="A609" s="81" t="s">
        <v>99</v>
      </c>
      <c r="B609" s="81"/>
      <c r="C609" s="81"/>
      <c r="D609" s="81"/>
      <c r="E609" s="81"/>
      <c r="F609" s="82">
        <f t="shared" ref="F609" si="91">F614</f>
        <v>12000</v>
      </c>
      <c r="G609" s="82">
        <f>G614</f>
        <v>3318.0702103656513</v>
      </c>
      <c r="H609" s="82">
        <f>H611</f>
        <v>4000</v>
      </c>
      <c r="I609" s="82">
        <f>I611</f>
        <v>5000</v>
      </c>
      <c r="J609" s="82"/>
      <c r="K609" s="79"/>
    </row>
    <row r="610" spans="1:23" x14ac:dyDescent="0.25">
      <c r="A610" s="292" t="s">
        <v>449</v>
      </c>
      <c r="B610" s="292"/>
      <c r="C610" s="292"/>
      <c r="D610" s="292"/>
      <c r="E610" s="276"/>
      <c r="F610" s="276"/>
      <c r="G610" s="276"/>
      <c r="H610" s="276"/>
      <c r="I610" s="276"/>
      <c r="J610" s="276"/>
      <c r="K610" s="307"/>
      <c r="L610" s="265"/>
    </row>
    <row r="611" spans="1:23" x14ac:dyDescent="0.25">
      <c r="A611" s="580" t="s">
        <v>386</v>
      </c>
      <c r="B611" s="580"/>
      <c r="C611" s="580"/>
      <c r="D611" s="580"/>
      <c r="E611" s="580"/>
      <c r="F611" s="93">
        <f t="shared" ref="F611:G611" si="92">F614</f>
        <v>12000</v>
      </c>
      <c r="G611" s="93">
        <f t="shared" si="92"/>
        <v>3318.0702103656513</v>
      </c>
      <c r="H611" s="93">
        <f>H613</f>
        <v>4000</v>
      </c>
      <c r="I611" s="93">
        <f>I613</f>
        <v>5000</v>
      </c>
      <c r="J611" s="93"/>
      <c r="K611" s="94">
        <f>K616</f>
        <v>4000</v>
      </c>
    </row>
    <row r="612" spans="1:23" x14ac:dyDescent="0.25">
      <c r="A612" s="286"/>
      <c r="B612" s="71"/>
      <c r="C612" s="286"/>
      <c r="D612" s="286"/>
      <c r="E612" s="286"/>
      <c r="F612" s="40"/>
      <c r="G612" s="40"/>
      <c r="H612" s="40"/>
      <c r="I612" s="40"/>
      <c r="J612" s="40"/>
      <c r="K612" s="40"/>
    </row>
    <row r="613" spans="1:23" x14ac:dyDescent="0.25">
      <c r="A613" s="166">
        <v>3</v>
      </c>
      <c r="B613" s="166" t="s">
        <v>18</v>
      </c>
      <c r="C613" s="166"/>
      <c r="D613" s="166"/>
      <c r="E613" s="166"/>
      <c r="F613" s="79"/>
      <c r="G613" s="79">
        <f>G614</f>
        <v>3318.0702103656513</v>
      </c>
      <c r="H613" s="79">
        <f>H614</f>
        <v>4000</v>
      </c>
      <c r="I613" s="79">
        <f>I614</f>
        <v>5000</v>
      </c>
      <c r="J613" s="79"/>
      <c r="K613" s="79"/>
    </row>
    <row r="614" spans="1:23" x14ac:dyDescent="0.25">
      <c r="A614" s="166">
        <v>38</v>
      </c>
      <c r="B614" s="166" t="s">
        <v>165</v>
      </c>
      <c r="C614" s="166"/>
      <c r="D614" s="166"/>
      <c r="E614" s="166"/>
      <c r="F614" s="79">
        <f t="shared" ref="F614:G614" si="93">SUM(F615:F616)</f>
        <v>12000</v>
      </c>
      <c r="G614" s="79">
        <f t="shared" si="93"/>
        <v>3318.0702103656513</v>
      </c>
      <c r="H614" s="79">
        <f>H615</f>
        <v>4000</v>
      </c>
      <c r="I614" s="79">
        <f>I615</f>
        <v>5000</v>
      </c>
      <c r="J614" s="79"/>
      <c r="K614" s="79"/>
    </row>
    <row r="615" spans="1:23" x14ac:dyDescent="0.25">
      <c r="A615" s="166">
        <v>381</v>
      </c>
      <c r="B615" s="166" t="s">
        <v>388</v>
      </c>
      <c r="C615" s="166"/>
      <c r="D615" s="166"/>
      <c r="E615" s="166"/>
      <c r="F615" s="72">
        <v>7000</v>
      </c>
      <c r="G615" s="72">
        <f>18000/7.5345</f>
        <v>2389.0105514632687</v>
      </c>
      <c r="H615" s="79">
        <f>H616</f>
        <v>4000</v>
      </c>
      <c r="I615" s="79">
        <f>I616</f>
        <v>5000</v>
      </c>
      <c r="J615" s="79"/>
      <c r="K615" s="79"/>
      <c r="L615" s="33" t="s">
        <v>526</v>
      </c>
      <c r="M615" s="33" t="s">
        <v>527</v>
      </c>
    </row>
    <row r="616" spans="1:23" x14ac:dyDescent="0.25">
      <c r="A616" s="71">
        <v>3811</v>
      </c>
      <c r="B616" s="71" t="s">
        <v>387</v>
      </c>
      <c r="C616" s="71"/>
      <c r="D616" s="71"/>
      <c r="E616" s="71"/>
      <c r="F616" s="72">
        <v>5000</v>
      </c>
      <c r="G616" s="72">
        <f>7000/7.5345</f>
        <v>929.05965890238235</v>
      </c>
      <c r="H616" s="72">
        <v>4000</v>
      </c>
      <c r="I616" s="72">
        <v>5000</v>
      </c>
      <c r="J616" s="72"/>
      <c r="K616" s="72">
        <v>4000</v>
      </c>
    </row>
    <row r="617" spans="1:23" x14ac:dyDescent="0.25">
      <c r="A617" s="166"/>
      <c r="B617" s="166"/>
      <c r="C617" s="286"/>
      <c r="D617" s="286"/>
      <c r="E617" s="286"/>
      <c r="F617" s="79"/>
      <c r="G617" s="79"/>
      <c r="H617" s="79"/>
      <c r="I617" s="79"/>
      <c r="J617" s="79"/>
      <c r="K617" s="79"/>
    </row>
    <row r="618" spans="1:23" x14ac:dyDescent="0.25">
      <c r="A618" s="81" t="s">
        <v>399</v>
      </c>
      <c r="B618" s="81"/>
      <c r="C618" s="81"/>
      <c r="D618" s="81"/>
      <c r="E618" s="81"/>
      <c r="F618" s="82" t="e">
        <f>F622+#REF!</f>
        <v>#REF!</v>
      </c>
      <c r="G618" s="82" t="e">
        <f>G620+#REF!</f>
        <v>#REF!</v>
      </c>
      <c r="H618" s="82">
        <f>H620</f>
        <v>35000</v>
      </c>
      <c r="I618" s="82">
        <f>I620</f>
        <v>5000</v>
      </c>
      <c r="J618" s="82"/>
      <c r="K618" s="79"/>
    </row>
    <row r="619" spans="1:23" x14ac:dyDescent="0.25">
      <c r="A619" s="292" t="s">
        <v>450</v>
      </c>
      <c r="B619" s="292"/>
      <c r="C619" s="292"/>
      <c r="D619" s="292"/>
      <c r="E619" s="276"/>
      <c r="F619" s="276"/>
      <c r="G619" s="276"/>
      <c r="H619" s="276"/>
      <c r="I619" s="276"/>
      <c r="J619" s="276"/>
      <c r="K619" s="307"/>
      <c r="L619" s="265"/>
    </row>
    <row r="620" spans="1:23" x14ac:dyDescent="0.25">
      <c r="A620" s="96" t="s">
        <v>310</v>
      </c>
      <c r="B620" s="99"/>
      <c r="C620" s="99"/>
      <c r="D620" s="99"/>
      <c r="E620" s="99"/>
      <c r="F620" s="93">
        <f t="shared" ref="F620" si="94">F622</f>
        <v>9987.5</v>
      </c>
      <c r="G620" s="93" t="e">
        <f>G622+#REF!</f>
        <v>#REF!</v>
      </c>
      <c r="H620" s="93">
        <f>H622</f>
        <v>35000</v>
      </c>
      <c r="I620" s="93">
        <f>I622</f>
        <v>5000</v>
      </c>
      <c r="J620" s="93"/>
      <c r="K620" s="94">
        <f>K625</f>
        <v>1800</v>
      </c>
      <c r="U620" s="117"/>
    </row>
    <row r="621" spans="1:23" x14ac:dyDescent="0.25">
      <c r="A621" s="286"/>
      <c r="B621" s="71"/>
      <c r="C621" s="286"/>
      <c r="D621" s="286"/>
      <c r="E621" s="286"/>
      <c r="F621" s="79"/>
      <c r="G621" s="79"/>
      <c r="H621" s="79"/>
      <c r="I621" s="79"/>
      <c r="J621" s="79"/>
      <c r="K621" s="79"/>
    </row>
    <row r="622" spans="1:23" x14ac:dyDescent="0.25">
      <c r="A622" s="166">
        <v>3</v>
      </c>
      <c r="B622" s="166" t="s">
        <v>18</v>
      </c>
      <c r="C622" s="166"/>
      <c r="D622" s="166"/>
      <c r="E622" s="166"/>
      <c r="F622" s="79">
        <f t="shared" ref="F622:G623" si="95">F623</f>
        <v>9987.5</v>
      </c>
      <c r="G622" s="79">
        <f t="shared" si="95"/>
        <v>29199.01785121773</v>
      </c>
      <c r="H622" s="79">
        <f t="shared" ref="H622:I624" si="96">H623</f>
        <v>35000</v>
      </c>
      <c r="I622" s="79">
        <f t="shared" si="96"/>
        <v>5000</v>
      </c>
      <c r="J622" s="79"/>
      <c r="K622" s="79"/>
      <c r="V622" s="117"/>
      <c r="W622" s="117"/>
    </row>
    <row r="623" spans="1:23" x14ac:dyDescent="0.25">
      <c r="A623" s="166">
        <v>38</v>
      </c>
      <c r="B623" s="166" t="s">
        <v>165</v>
      </c>
      <c r="C623" s="166"/>
      <c r="D623" s="166"/>
      <c r="E623" s="166"/>
      <c r="F623" s="79">
        <f t="shared" si="95"/>
        <v>9987.5</v>
      </c>
      <c r="G623" s="79">
        <f t="shared" si="95"/>
        <v>29199.01785121773</v>
      </c>
      <c r="H623" s="79">
        <f t="shared" si="96"/>
        <v>35000</v>
      </c>
      <c r="I623" s="79">
        <f t="shared" si="96"/>
        <v>5000</v>
      </c>
      <c r="J623" s="79"/>
      <c r="K623" s="79"/>
      <c r="R623" s="164"/>
      <c r="S623" s="164"/>
      <c r="T623" s="117"/>
    </row>
    <row r="624" spans="1:23" x14ac:dyDescent="0.25">
      <c r="A624" s="166">
        <v>381</v>
      </c>
      <c r="B624" s="166" t="s">
        <v>311</v>
      </c>
      <c r="C624" s="166"/>
      <c r="D624" s="166"/>
      <c r="E624" s="166"/>
      <c r="F624" s="72">
        <v>9987.5</v>
      </c>
      <c r="G624" s="79">
        <f>220000/7.5345</f>
        <v>29199.01785121773</v>
      </c>
      <c r="H624" s="79">
        <f t="shared" si="96"/>
        <v>35000</v>
      </c>
      <c r="I624" s="79">
        <f t="shared" si="96"/>
        <v>5000</v>
      </c>
      <c r="J624" s="79"/>
      <c r="K624" s="79"/>
    </row>
    <row r="625" spans="1:12" ht="14.25" customHeight="1" x14ac:dyDescent="0.25">
      <c r="A625" s="71">
        <v>3811</v>
      </c>
      <c r="B625" s="71" t="s">
        <v>387</v>
      </c>
      <c r="C625" s="166"/>
      <c r="D625" s="166"/>
      <c r="E625" s="166"/>
      <c r="F625" s="72"/>
      <c r="G625" s="79"/>
      <c r="H625" s="72">
        <v>35000</v>
      </c>
      <c r="I625" s="72">
        <v>5000</v>
      </c>
      <c r="J625" s="72"/>
      <c r="K625" s="72">
        <v>1800</v>
      </c>
    </row>
    <row r="626" spans="1:12" ht="13.5" customHeight="1" x14ac:dyDescent="0.25">
      <c r="A626" s="286"/>
      <c r="B626" s="71"/>
      <c r="C626" s="286"/>
      <c r="D626" s="286"/>
      <c r="E626" s="286"/>
      <c r="F626" s="79"/>
      <c r="G626" s="72"/>
      <c r="H626" s="72"/>
      <c r="I626" s="72"/>
      <c r="J626" s="72"/>
      <c r="K626" s="72"/>
    </row>
    <row r="627" spans="1:12" x14ac:dyDescent="0.25">
      <c r="A627" s="89" t="s">
        <v>101</v>
      </c>
      <c r="B627" s="89"/>
      <c r="C627" s="89"/>
      <c r="D627" s="89"/>
      <c r="E627" s="89"/>
      <c r="F627" s="90" t="e">
        <f>F628+F671</f>
        <v>#REF!</v>
      </c>
      <c r="G627" s="90" t="e">
        <f>G628+G671</f>
        <v>#REF!</v>
      </c>
      <c r="H627" s="90">
        <f>H628+H671+H681</f>
        <v>164772</v>
      </c>
      <c r="I627" s="90">
        <f>I628+I671+I681</f>
        <v>176175</v>
      </c>
      <c r="J627" s="90"/>
      <c r="K627" s="79"/>
    </row>
    <row r="628" spans="1:12" x14ac:dyDescent="0.25">
      <c r="A628" s="81" t="s">
        <v>100</v>
      </c>
      <c r="B628" s="81"/>
      <c r="C628" s="81"/>
      <c r="D628" s="81"/>
      <c r="E628" s="81"/>
      <c r="F628" s="82" t="e">
        <f>F630+F648+#REF!+#REF!</f>
        <v>#REF!</v>
      </c>
      <c r="G628" s="82" t="e">
        <f>G630+G648+G656+#REF!</f>
        <v>#REF!</v>
      </c>
      <c r="H628" s="82">
        <f>H630+H648+H656</f>
        <v>143060</v>
      </c>
      <c r="I628" s="82">
        <f>I630+I648+I656</f>
        <v>163075</v>
      </c>
      <c r="J628" s="82"/>
      <c r="K628" s="79"/>
    </row>
    <row r="629" spans="1:12" x14ac:dyDescent="0.25">
      <c r="A629" s="292" t="s">
        <v>451</v>
      </c>
      <c r="B629" s="292"/>
      <c r="C629" s="292"/>
      <c r="D629" s="292"/>
      <c r="E629" s="276"/>
      <c r="F629" s="276"/>
      <c r="G629" s="276"/>
      <c r="H629" s="276"/>
      <c r="I629" s="276"/>
      <c r="J629" s="276"/>
      <c r="K629" s="307"/>
      <c r="L629" s="265"/>
    </row>
    <row r="630" spans="1:12" x14ac:dyDescent="0.25">
      <c r="A630" s="96" t="s">
        <v>102</v>
      </c>
      <c r="B630" s="99"/>
      <c r="C630" s="99"/>
      <c r="D630" s="99"/>
      <c r="E630" s="99"/>
      <c r="F630" s="93">
        <f t="shared" ref="F630" si="97">F632</f>
        <v>216430.78999999998</v>
      </c>
      <c r="G630" s="93" t="e">
        <f>G632</f>
        <v>#REF!</v>
      </c>
      <c r="H630" s="93">
        <f>H632</f>
        <v>54500</v>
      </c>
      <c r="I630" s="93">
        <f>I632</f>
        <v>54890</v>
      </c>
      <c r="J630" s="93"/>
      <c r="K630" s="94">
        <f>SUM(K632:K645)</f>
        <v>43217.919999999998</v>
      </c>
    </row>
    <row r="631" spans="1:12" x14ac:dyDescent="0.25">
      <c r="A631" s="285"/>
      <c r="B631" s="286"/>
      <c r="C631" s="286"/>
      <c r="D631" s="286"/>
      <c r="E631" s="286"/>
      <c r="F631" s="79"/>
      <c r="G631" s="79"/>
      <c r="H631" s="79"/>
      <c r="I631" s="79"/>
      <c r="J631" s="79"/>
      <c r="K631" s="79"/>
    </row>
    <row r="632" spans="1:12" x14ac:dyDescent="0.25">
      <c r="A632" s="166">
        <v>3</v>
      </c>
      <c r="B632" s="166" t="s">
        <v>18</v>
      </c>
      <c r="C632" s="166"/>
      <c r="D632" s="166"/>
      <c r="E632" s="166"/>
      <c r="F632" s="79">
        <f t="shared" ref="F632" si="98">F633</f>
        <v>216430.78999999998</v>
      </c>
      <c r="G632" s="79" t="e">
        <f>G633+#REF!</f>
        <v>#REF!</v>
      </c>
      <c r="H632" s="79">
        <f>H633+H643</f>
        <v>54500</v>
      </c>
      <c r="I632" s="79">
        <f>I633+I643</f>
        <v>54890</v>
      </c>
      <c r="J632" s="79"/>
      <c r="K632" s="79"/>
    </row>
    <row r="633" spans="1:12" x14ac:dyDescent="0.25">
      <c r="A633" s="166">
        <v>37</v>
      </c>
      <c r="B633" s="166" t="s">
        <v>163</v>
      </c>
      <c r="C633" s="166"/>
      <c r="D633" s="166"/>
      <c r="E633" s="166"/>
      <c r="F633" s="79">
        <f>F634+F643</f>
        <v>216430.78999999998</v>
      </c>
      <c r="G633" s="79">
        <f>G634</f>
        <v>42869.464781339171</v>
      </c>
      <c r="H633" s="79">
        <f>H634</f>
        <v>48500</v>
      </c>
      <c r="I633" s="79">
        <f>I634</f>
        <v>47300</v>
      </c>
      <c r="J633" s="79"/>
      <c r="K633" s="79"/>
    </row>
    <row r="634" spans="1:12" x14ac:dyDescent="0.25">
      <c r="A634" s="166">
        <v>372</v>
      </c>
      <c r="B634" s="166" t="s">
        <v>163</v>
      </c>
      <c r="C634" s="166"/>
      <c r="D634" s="166"/>
      <c r="E634" s="166"/>
      <c r="F634" s="79">
        <f>SUM(F635:F642)</f>
        <v>182620.21</v>
      </c>
      <c r="G634" s="79">
        <f>SUM(G635:G642)+G643</f>
        <v>42869.464781339171</v>
      </c>
      <c r="H634" s="79">
        <f>H635+H636+H637+H638+H639+H640+H641+H642</f>
        <v>48500</v>
      </c>
      <c r="I634" s="79">
        <f>I635+I636+I637+I638+I639+I640+I641+I642</f>
        <v>47300</v>
      </c>
      <c r="J634" s="79"/>
      <c r="K634" s="79"/>
    </row>
    <row r="635" spans="1:12" x14ac:dyDescent="0.25">
      <c r="A635" s="286">
        <v>3721</v>
      </c>
      <c r="B635" s="286" t="s">
        <v>312</v>
      </c>
      <c r="C635" s="286"/>
      <c r="D635" s="286"/>
      <c r="E635" s="286"/>
      <c r="F635" s="72"/>
      <c r="G635" s="72">
        <f>10000/7.5345</f>
        <v>1327.2280841462605</v>
      </c>
      <c r="H635" s="72">
        <v>1000</v>
      </c>
      <c r="I635" s="72">
        <v>1000</v>
      </c>
      <c r="J635" s="72"/>
      <c r="K635" s="72">
        <v>614.86</v>
      </c>
      <c r="L635" s="33" t="s">
        <v>523</v>
      </c>
    </row>
    <row r="636" spans="1:12" x14ac:dyDescent="0.25">
      <c r="A636" s="71">
        <v>3721</v>
      </c>
      <c r="B636" s="71" t="s">
        <v>313</v>
      </c>
      <c r="C636" s="71"/>
      <c r="D636" s="71"/>
      <c r="E636" s="71"/>
      <c r="F636" s="72">
        <v>11500</v>
      </c>
      <c r="G636" s="72">
        <f>12000/7.5345</f>
        <v>1592.6737009755125</v>
      </c>
      <c r="H636" s="72">
        <v>1500</v>
      </c>
      <c r="I636" s="72">
        <v>1500</v>
      </c>
      <c r="J636" s="72"/>
      <c r="K636" s="72"/>
      <c r="L636" s="33" t="s">
        <v>636</v>
      </c>
    </row>
    <row r="637" spans="1:12" x14ac:dyDescent="0.25">
      <c r="A637" s="71">
        <v>3721</v>
      </c>
      <c r="B637" s="555" t="s">
        <v>349</v>
      </c>
      <c r="C637" s="555"/>
      <c r="D637" s="555"/>
      <c r="E637" s="555"/>
      <c r="F637" s="72"/>
      <c r="G637" s="72">
        <v>5308.91</v>
      </c>
      <c r="H637" s="72">
        <v>5000</v>
      </c>
      <c r="I637" s="72">
        <f>4*1200</f>
        <v>4800</v>
      </c>
      <c r="J637" s="72"/>
      <c r="K637" s="72">
        <v>3600</v>
      </c>
      <c r="L637" s="33" t="s">
        <v>744</v>
      </c>
    </row>
    <row r="638" spans="1:12" x14ac:dyDescent="0.25">
      <c r="A638" s="71">
        <v>3721</v>
      </c>
      <c r="B638" s="71" t="s">
        <v>314</v>
      </c>
      <c r="C638" s="71"/>
      <c r="D638" s="71"/>
      <c r="E638" s="71"/>
      <c r="F638" s="72">
        <v>18700</v>
      </c>
      <c r="G638" s="72">
        <f>50000/7.5345</f>
        <v>6636.1404207313026</v>
      </c>
      <c r="H638" s="72">
        <v>10000</v>
      </c>
      <c r="I638" s="72">
        <v>15000</v>
      </c>
      <c r="J638" s="72"/>
      <c r="K638" s="72">
        <v>6660</v>
      </c>
      <c r="L638" s="33" t="s">
        <v>745</v>
      </c>
    </row>
    <row r="639" spans="1:12" x14ac:dyDescent="0.25">
      <c r="A639" s="71">
        <v>3721</v>
      </c>
      <c r="B639" s="71" t="s">
        <v>315</v>
      </c>
      <c r="C639" s="71"/>
      <c r="D639" s="71"/>
      <c r="E639" s="71"/>
      <c r="F639" s="72">
        <v>36000</v>
      </c>
      <c r="G639" s="72">
        <f>30000/7.5345</f>
        <v>3981.6842524387812</v>
      </c>
      <c r="H639" s="72">
        <v>5000</v>
      </c>
      <c r="I639" s="72">
        <v>6000</v>
      </c>
      <c r="J639" s="72"/>
      <c r="K639" s="72">
        <v>6200</v>
      </c>
    </row>
    <row r="640" spans="1:12" x14ac:dyDescent="0.25">
      <c r="A640" s="71">
        <v>3721</v>
      </c>
      <c r="B640" s="71" t="s">
        <v>316</v>
      </c>
      <c r="C640" s="71"/>
      <c r="D640" s="71"/>
      <c r="E640" s="71"/>
      <c r="F640" s="72">
        <v>85000</v>
      </c>
      <c r="G640" s="72">
        <f>100000/7.5345</f>
        <v>13272.280841462605</v>
      </c>
      <c r="H640" s="72">
        <v>25000</v>
      </c>
      <c r="I640" s="72">
        <f>21000-3000</f>
        <v>18000</v>
      </c>
      <c r="J640" s="72"/>
      <c r="K640" s="72">
        <v>20400</v>
      </c>
      <c r="L640" s="33" t="s">
        <v>743</v>
      </c>
    </row>
    <row r="641" spans="1:13" x14ac:dyDescent="0.25">
      <c r="A641" s="71">
        <v>3721</v>
      </c>
      <c r="B641" s="71" t="s">
        <v>318</v>
      </c>
      <c r="C641" s="286"/>
      <c r="D641" s="286"/>
      <c r="E641" s="286"/>
      <c r="F641" s="72">
        <v>2320.21</v>
      </c>
      <c r="G641" s="72">
        <f>6000/7.5345</f>
        <v>796.33685048775624</v>
      </c>
      <c r="H641" s="72">
        <v>500</v>
      </c>
      <c r="I641" s="72">
        <v>500</v>
      </c>
      <c r="J641" s="72"/>
      <c r="K641" s="72">
        <v>267.95999999999998</v>
      </c>
    </row>
    <row r="642" spans="1:13" ht="18" customHeight="1" x14ac:dyDescent="0.25">
      <c r="A642" s="286">
        <v>3722</v>
      </c>
      <c r="B642" s="71" t="s">
        <v>463</v>
      </c>
      <c r="C642" s="286"/>
      <c r="D642" s="71"/>
      <c r="E642" s="71"/>
      <c r="F642" s="72">
        <v>29100</v>
      </c>
      <c r="G642" s="72">
        <f>35000/7.5345</f>
        <v>4645.298294511912</v>
      </c>
      <c r="H642" s="72">
        <v>500</v>
      </c>
      <c r="I642" s="72">
        <v>500</v>
      </c>
      <c r="J642" s="72"/>
      <c r="K642" s="72"/>
    </row>
    <row r="643" spans="1:13" x14ac:dyDescent="0.25">
      <c r="A643" s="166">
        <v>38</v>
      </c>
      <c r="B643" s="166" t="s">
        <v>165</v>
      </c>
      <c r="C643" s="286"/>
      <c r="D643" s="286"/>
      <c r="E643" s="286"/>
      <c r="F643" s="79">
        <f t="shared" ref="F643:G643" si="99">F645</f>
        <v>33810.58</v>
      </c>
      <c r="G643" s="79">
        <f t="shared" si="99"/>
        <v>5308.9123365850419</v>
      </c>
      <c r="H643" s="79">
        <f>H644</f>
        <v>6000</v>
      </c>
      <c r="I643" s="79">
        <f>I644</f>
        <v>7590</v>
      </c>
      <c r="J643" s="79"/>
      <c r="K643" s="79"/>
    </row>
    <row r="644" spans="1:13" x14ac:dyDescent="0.25">
      <c r="A644" s="166">
        <v>381</v>
      </c>
      <c r="B644" s="166" t="s">
        <v>166</v>
      </c>
      <c r="C644" s="166"/>
      <c r="D644" s="166"/>
      <c r="E644" s="166"/>
      <c r="F644" s="79">
        <f t="shared" ref="F644:G644" si="100">F645</f>
        <v>33810.58</v>
      </c>
      <c r="G644" s="79">
        <f t="shared" si="100"/>
        <v>5308.9123365850419</v>
      </c>
      <c r="H644" s="79">
        <f>H645</f>
        <v>6000</v>
      </c>
      <c r="I644" s="79">
        <f>I645</f>
        <v>7590</v>
      </c>
      <c r="J644" s="79"/>
      <c r="K644" s="79"/>
    </row>
    <row r="645" spans="1:13" x14ac:dyDescent="0.25">
      <c r="A645" s="71">
        <v>3811</v>
      </c>
      <c r="B645" s="71" t="s">
        <v>464</v>
      </c>
      <c r="C645" s="286"/>
      <c r="D645" s="286"/>
      <c r="E645" s="286"/>
      <c r="F645" s="72">
        <v>33810.58</v>
      </c>
      <c r="G645" s="72">
        <f>40000/7.5345</f>
        <v>5308.9123365850419</v>
      </c>
      <c r="H645" s="72">
        <v>6000</v>
      </c>
      <c r="I645" s="72">
        <v>7590</v>
      </c>
      <c r="J645" s="72"/>
      <c r="K645" s="72">
        <v>5475.1</v>
      </c>
      <c r="M645" s="33" t="s">
        <v>742</v>
      </c>
    </row>
    <row r="646" spans="1:13" x14ac:dyDescent="0.25">
      <c r="A646" s="71"/>
      <c r="B646" s="71"/>
      <c r="C646" s="286"/>
      <c r="D646" s="286"/>
      <c r="E646" s="286"/>
      <c r="F646" s="72"/>
      <c r="G646" s="72"/>
      <c r="H646" s="72"/>
      <c r="I646" s="72"/>
      <c r="J646" s="72"/>
      <c r="K646" s="72"/>
      <c r="M646" s="33">
        <f>632*12</f>
        <v>7584</v>
      </c>
    </row>
    <row r="647" spans="1:13" x14ac:dyDescent="0.25">
      <c r="A647" s="292" t="s">
        <v>451</v>
      </c>
      <c r="B647" s="292"/>
      <c r="C647" s="292"/>
      <c r="D647" s="292"/>
      <c r="E647" s="276"/>
      <c r="F647" s="276"/>
      <c r="G647" s="276"/>
      <c r="H647" s="276"/>
      <c r="I647" s="276"/>
      <c r="J647" s="276"/>
      <c r="K647" s="307"/>
      <c r="L647" s="266"/>
    </row>
    <row r="648" spans="1:13" x14ac:dyDescent="0.25">
      <c r="A648" s="96" t="s">
        <v>103</v>
      </c>
      <c r="B648" s="99"/>
      <c r="C648" s="99"/>
      <c r="D648" s="99"/>
      <c r="E648" s="99"/>
      <c r="F648" s="93">
        <f t="shared" ref="F648:G648" si="101">F651</f>
        <v>0</v>
      </c>
      <c r="G648" s="93">
        <f t="shared" si="101"/>
        <v>1592.6737009755125</v>
      </c>
      <c r="H648" s="93">
        <f>H650</f>
        <v>2000</v>
      </c>
      <c r="I648" s="93">
        <f>I650</f>
        <v>2000</v>
      </c>
      <c r="J648" s="93"/>
      <c r="K648" s="94"/>
    </row>
    <row r="649" spans="1:13" x14ac:dyDescent="0.25">
      <c r="A649" s="294"/>
      <c r="B649" s="294"/>
      <c r="C649" s="294"/>
      <c r="D649" s="294"/>
      <c r="E649" s="294"/>
      <c r="F649" s="72"/>
      <c r="G649" s="72"/>
      <c r="H649" s="72"/>
      <c r="I649" s="72"/>
      <c r="J649" s="72"/>
      <c r="K649" s="72"/>
    </row>
    <row r="650" spans="1:13" x14ac:dyDescent="0.25">
      <c r="A650" s="166">
        <v>3</v>
      </c>
      <c r="B650" s="166" t="s">
        <v>18</v>
      </c>
      <c r="C650" s="166"/>
      <c r="D650" s="166"/>
      <c r="E650" s="71"/>
      <c r="F650" s="79"/>
      <c r="G650" s="79">
        <f>G651</f>
        <v>1592.6737009755125</v>
      </c>
      <c r="H650" s="79">
        <f>H651</f>
        <v>2000</v>
      </c>
      <c r="I650" s="79">
        <f>I651</f>
        <v>2000</v>
      </c>
      <c r="J650" s="79"/>
      <c r="K650" s="79"/>
    </row>
    <row r="651" spans="1:13" x14ac:dyDescent="0.25">
      <c r="A651" s="166">
        <v>37</v>
      </c>
      <c r="B651" s="166" t="s">
        <v>163</v>
      </c>
      <c r="C651" s="166"/>
      <c r="D651" s="166"/>
      <c r="E651" s="166"/>
      <c r="F651" s="79">
        <f t="shared" ref="F651:G652" si="102">F652</f>
        <v>0</v>
      </c>
      <c r="G651" s="79">
        <f t="shared" si="102"/>
        <v>1592.6737009755125</v>
      </c>
      <c r="H651" s="79">
        <f>H652</f>
        <v>2000</v>
      </c>
      <c r="I651" s="79">
        <f>I652</f>
        <v>2000</v>
      </c>
      <c r="J651" s="79"/>
      <c r="K651" s="79"/>
    </row>
    <row r="652" spans="1:13" x14ac:dyDescent="0.25">
      <c r="A652" s="166">
        <v>372</v>
      </c>
      <c r="B652" s="166" t="s">
        <v>164</v>
      </c>
      <c r="C652" s="166"/>
      <c r="D652" s="166"/>
      <c r="E652" s="166"/>
      <c r="F652" s="79">
        <f t="shared" si="102"/>
        <v>0</v>
      </c>
      <c r="G652" s="79">
        <f t="shared" si="102"/>
        <v>1592.6737009755125</v>
      </c>
      <c r="H652" s="79">
        <f>H653</f>
        <v>2000</v>
      </c>
      <c r="I652" s="79">
        <f>I653</f>
        <v>2000</v>
      </c>
      <c r="J652" s="79"/>
      <c r="K652" s="79"/>
    </row>
    <row r="653" spans="1:13" ht="17.25" customHeight="1" x14ac:dyDescent="0.25">
      <c r="A653" s="286">
        <v>3722</v>
      </c>
      <c r="B653" s="71" t="s">
        <v>319</v>
      </c>
      <c r="C653" s="286"/>
      <c r="D653" s="286"/>
      <c r="E653" s="286"/>
      <c r="F653" s="72"/>
      <c r="G653" s="72">
        <f>12000/7.5345</f>
        <v>1592.6737009755125</v>
      </c>
      <c r="H653" s="72">
        <v>2000</v>
      </c>
      <c r="I653" s="72">
        <v>2000</v>
      </c>
      <c r="J653" s="72"/>
      <c r="K653" s="72"/>
    </row>
    <row r="654" spans="1:13" x14ac:dyDescent="0.25">
      <c r="A654" s="286"/>
      <c r="B654" s="280"/>
      <c r="C654" s="280"/>
      <c r="D654" s="280"/>
      <c r="E654" s="280"/>
      <c r="F654" s="72"/>
      <c r="G654" s="72"/>
      <c r="H654" s="72"/>
      <c r="I654" s="72"/>
      <c r="J654" s="72"/>
      <c r="K654" s="72"/>
    </row>
    <row r="655" spans="1:13" x14ac:dyDescent="0.25">
      <c r="A655" s="292" t="s">
        <v>452</v>
      </c>
      <c r="B655" s="292"/>
      <c r="C655" s="292"/>
      <c r="D655" s="292"/>
      <c r="E655" s="276"/>
      <c r="F655" s="276"/>
      <c r="G655" s="276"/>
      <c r="H655" s="276"/>
      <c r="I655" s="276"/>
      <c r="J655" s="276"/>
      <c r="K655" s="307"/>
      <c r="L655" s="265"/>
    </row>
    <row r="656" spans="1:13" x14ac:dyDescent="0.25">
      <c r="A656" s="574" t="s">
        <v>549</v>
      </c>
      <c r="B656" s="574"/>
      <c r="C656" s="574"/>
      <c r="D656" s="574"/>
      <c r="E656" s="574"/>
      <c r="F656" s="94">
        <f>F658</f>
        <v>14853.75</v>
      </c>
      <c r="G656" s="94">
        <f t="shared" ref="G656" si="103">G658</f>
        <v>10033.844316145731</v>
      </c>
      <c r="H656" s="94">
        <f>H658</f>
        <v>86560</v>
      </c>
      <c r="I656" s="94">
        <f>I658</f>
        <v>106185</v>
      </c>
      <c r="J656" s="94"/>
      <c r="K656" s="94">
        <f>SUM(K658:K668)</f>
        <v>22469.539999999997</v>
      </c>
    </row>
    <row r="657" spans="1:19" x14ac:dyDescent="0.25">
      <c r="A657" s="286"/>
      <c r="B657" s="71"/>
      <c r="C657" s="286"/>
      <c r="D657" s="286"/>
      <c r="E657" s="286"/>
      <c r="F657" s="79"/>
      <c r="G657" s="79"/>
      <c r="H657" s="79"/>
      <c r="I657" s="79"/>
      <c r="J657" s="79"/>
      <c r="K657" s="79"/>
      <c r="M657" s="33" t="s">
        <v>348</v>
      </c>
    </row>
    <row r="658" spans="1:19" x14ac:dyDescent="0.25">
      <c r="A658" s="166">
        <v>3</v>
      </c>
      <c r="B658" s="570" t="s">
        <v>18</v>
      </c>
      <c r="C658" s="570"/>
      <c r="D658" s="570"/>
      <c r="E658" s="570"/>
      <c r="F658" s="79">
        <f>F661+F665</f>
        <v>14853.75</v>
      </c>
      <c r="G658" s="79">
        <f>G659+G666</f>
        <v>10033.844316145731</v>
      </c>
      <c r="H658" s="79">
        <f>H659+H666</f>
        <v>86560</v>
      </c>
      <c r="I658" s="79">
        <f>I659+I666</f>
        <v>106185</v>
      </c>
      <c r="J658" s="79"/>
      <c r="K658" s="79"/>
    </row>
    <row r="659" spans="1:19" x14ac:dyDescent="0.25">
      <c r="A659" s="166">
        <v>31</v>
      </c>
      <c r="B659" s="570" t="s">
        <v>151</v>
      </c>
      <c r="C659" s="570"/>
      <c r="D659" s="570"/>
      <c r="E659" s="570"/>
      <c r="F659" s="79"/>
      <c r="G659" s="79">
        <f>G660+G664</f>
        <v>9901.1215077311044</v>
      </c>
      <c r="H659" s="79">
        <f>H660+H662+H664</f>
        <v>86410</v>
      </c>
      <c r="I659" s="79">
        <f>I660+I662+I664</f>
        <v>101985</v>
      </c>
      <c r="J659" s="79"/>
      <c r="K659" s="79"/>
    </row>
    <row r="660" spans="1:19" x14ac:dyDescent="0.25">
      <c r="A660" s="166">
        <v>311</v>
      </c>
      <c r="B660" s="287" t="s">
        <v>152</v>
      </c>
      <c r="C660" s="287"/>
      <c r="D660" s="287"/>
      <c r="E660" s="287"/>
      <c r="F660" s="79"/>
      <c r="G660" s="79">
        <f>G661</f>
        <v>8494.2597385360677</v>
      </c>
      <c r="H660" s="79">
        <f>H661</f>
        <v>70560</v>
      </c>
      <c r="I660" s="79">
        <f>I661</f>
        <v>83640</v>
      </c>
      <c r="J660" s="79"/>
      <c r="K660" s="79"/>
      <c r="M660" s="33" t="s">
        <v>490</v>
      </c>
    </row>
    <row r="661" spans="1:19" x14ac:dyDescent="0.25">
      <c r="A661" s="286">
        <v>3111</v>
      </c>
      <c r="B661" s="553" t="s">
        <v>320</v>
      </c>
      <c r="C661" s="553"/>
      <c r="D661" s="553"/>
      <c r="E661" s="553"/>
      <c r="F661" s="79">
        <f>10200+2550</f>
        <v>12750</v>
      </c>
      <c r="G661" s="72">
        <f>64000/7.5345</f>
        <v>8494.2597385360677</v>
      </c>
      <c r="H661" s="72">
        <f>7*10080</f>
        <v>70560</v>
      </c>
      <c r="I661" s="72">
        <f>81480+2160</f>
        <v>83640</v>
      </c>
      <c r="J661" s="72"/>
      <c r="K661" s="72">
        <f>14921.88+610.62+2977.1</f>
        <v>18509.599999999999</v>
      </c>
      <c r="L661" s="33">
        <f>970*12*7</f>
        <v>81480</v>
      </c>
    </row>
    <row r="662" spans="1:19" s="117" customFormat="1" x14ac:dyDescent="0.25">
      <c r="A662" s="166">
        <v>312</v>
      </c>
      <c r="B662" s="166" t="s">
        <v>153</v>
      </c>
      <c r="C662" s="166"/>
      <c r="D662" s="166"/>
      <c r="E662" s="166"/>
      <c r="F662" s="79"/>
      <c r="G662" s="79"/>
      <c r="H662" s="79">
        <f>H663</f>
        <v>4200</v>
      </c>
      <c r="I662" s="79">
        <f>I663</f>
        <v>4900</v>
      </c>
      <c r="J662" s="79"/>
      <c r="K662" s="79"/>
      <c r="L662" s="33" t="s">
        <v>712</v>
      </c>
      <c r="M662" s="33"/>
      <c r="N662" s="33">
        <f>700*7</f>
        <v>4900</v>
      </c>
      <c r="O662" s="164"/>
      <c r="P662" s="164"/>
      <c r="Q662" s="164"/>
      <c r="R662" s="164"/>
      <c r="S662" s="164"/>
    </row>
    <row r="663" spans="1:19" x14ac:dyDescent="0.25">
      <c r="A663" s="286">
        <v>3121</v>
      </c>
      <c r="B663" s="575" t="s">
        <v>192</v>
      </c>
      <c r="C663" s="575"/>
      <c r="D663" s="575"/>
      <c r="E663" s="575"/>
      <c r="F663" s="79"/>
      <c r="G663" s="72"/>
      <c r="H663" s="72">
        <f>2100+2100</f>
        <v>4200</v>
      </c>
      <c r="I663" s="72">
        <v>4900</v>
      </c>
      <c r="J663" s="72"/>
      <c r="K663" s="72"/>
      <c r="L663" s="33">
        <f>11640*7</f>
        <v>81480</v>
      </c>
      <c r="N663" s="33" t="s">
        <v>711</v>
      </c>
    </row>
    <row r="664" spans="1:19" x14ac:dyDescent="0.25">
      <c r="A664" s="166">
        <v>313</v>
      </c>
      <c r="B664" s="287" t="s">
        <v>154</v>
      </c>
      <c r="C664" s="287"/>
      <c r="D664" s="287"/>
      <c r="E664" s="287"/>
      <c r="F664" s="79"/>
      <c r="G664" s="79">
        <f>G665</f>
        <v>1406.861769195036</v>
      </c>
      <c r="H664" s="79">
        <f>H665</f>
        <v>11650</v>
      </c>
      <c r="I664" s="79">
        <f>I665</f>
        <v>13445</v>
      </c>
      <c r="J664" s="79"/>
      <c r="K664" s="79"/>
      <c r="N664" s="33" t="s">
        <v>722</v>
      </c>
    </row>
    <row r="665" spans="1:19" x14ac:dyDescent="0.25">
      <c r="A665" s="286">
        <v>3131</v>
      </c>
      <c r="B665" s="553" t="s">
        <v>321</v>
      </c>
      <c r="C665" s="553"/>
      <c r="D665" s="553"/>
      <c r="E665" s="553"/>
      <c r="F665" s="72">
        <v>2103.75</v>
      </c>
      <c r="G665" s="72">
        <f>10600/7.5345</f>
        <v>1406.861769195036</v>
      </c>
      <c r="H665" s="72">
        <v>11650</v>
      </c>
      <c r="I665" s="72">
        <v>13445</v>
      </c>
      <c r="J665" s="72"/>
      <c r="K665" s="72">
        <v>2909.94</v>
      </c>
      <c r="L665" s="33">
        <f>L661*16.5/100</f>
        <v>13444.2</v>
      </c>
      <c r="N665" s="33">
        <f>180*12</f>
        <v>2160</v>
      </c>
      <c r="P665" s="33">
        <f>H661+H663+H665+H668</f>
        <v>86560</v>
      </c>
    </row>
    <row r="666" spans="1:19" x14ac:dyDescent="0.25">
      <c r="A666" s="166">
        <v>32</v>
      </c>
      <c r="B666" s="287" t="s">
        <v>155</v>
      </c>
      <c r="C666" s="287"/>
      <c r="D666" s="287"/>
      <c r="E666" s="287"/>
      <c r="F666" s="72"/>
      <c r="G666" s="79">
        <f t="shared" ref="G666:I667" si="104">G667</f>
        <v>132.72280841462606</v>
      </c>
      <c r="H666" s="79">
        <f t="shared" si="104"/>
        <v>150</v>
      </c>
      <c r="I666" s="79">
        <f t="shared" si="104"/>
        <v>4200</v>
      </c>
      <c r="J666" s="79"/>
      <c r="K666" s="79"/>
      <c r="P666" s="33" t="s">
        <v>491</v>
      </c>
    </row>
    <row r="667" spans="1:19" x14ac:dyDescent="0.25">
      <c r="A667" s="166">
        <v>321</v>
      </c>
      <c r="B667" s="570" t="s">
        <v>322</v>
      </c>
      <c r="C667" s="570"/>
      <c r="D667" s="570"/>
      <c r="E667" s="570"/>
      <c r="F667" s="72"/>
      <c r="G667" s="79">
        <f t="shared" si="104"/>
        <v>132.72280841462606</v>
      </c>
      <c r="H667" s="79">
        <f t="shared" si="104"/>
        <v>150</v>
      </c>
      <c r="I667" s="79">
        <f t="shared" si="104"/>
        <v>4200</v>
      </c>
      <c r="J667" s="79"/>
      <c r="K667" s="79"/>
    </row>
    <row r="668" spans="1:19" x14ac:dyDescent="0.25">
      <c r="A668" s="286">
        <v>3214</v>
      </c>
      <c r="B668" s="553" t="s">
        <v>323</v>
      </c>
      <c r="C668" s="553"/>
      <c r="D668" s="553"/>
      <c r="E668" s="553"/>
      <c r="F668" s="72"/>
      <c r="G668" s="72">
        <f>1000/7.5345</f>
        <v>132.72280841462606</v>
      </c>
      <c r="H668" s="72">
        <v>150</v>
      </c>
      <c r="I668" s="72">
        <v>4200</v>
      </c>
      <c r="J668" s="72"/>
      <c r="K668" s="72">
        <v>1050</v>
      </c>
      <c r="L668" s="33">
        <f>50*12*7</f>
        <v>4200</v>
      </c>
      <c r="M668" s="33" t="s">
        <v>737</v>
      </c>
    </row>
    <row r="669" spans="1:19" x14ac:dyDescent="0.25">
      <c r="A669" s="286"/>
      <c r="B669" s="280"/>
      <c r="C669" s="280"/>
      <c r="D669" s="280"/>
      <c r="E669" s="280"/>
      <c r="F669" s="72"/>
      <c r="G669" s="72"/>
      <c r="H669" s="72"/>
      <c r="I669" s="72"/>
      <c r="J669" s="72"/>
      <c r="K669" s="72"/>
    </row>
    <row r="670" spans="1:19" x14ac:dyDescent="0.25">
      <c r="A670" s="286"/>
      <c r="B670" s="280"/>
      <c r="C670" s="280"/>
      <c r="D670" s="280"/>
      <c r="E670" s="280"/>
      <c r="F670" s="79"/>
      <c r="G670" s="79"/>
      <c r="H670" s="79"/>
      <c r="I670" s="79"/>
      <c r="J670" s="79"/>
      <c r="K670" s="79"/>
    </row>
    <row r="671" spans="1:19" x14ac:dyDescent="0.25">
      <c r="A671" s="81" t="s">
        <v>104</v>
      </c>
      <c r="B671" s="81"/>
      <c r="C671" s="81"/>
      <c r="D671" s="81"/>
      <c r="E671" s="81"/>
      <c r="F671" s="82">
        <f>F673+F683</f>
        <v>4166.6099999999997</v>
      </c>
      <c r="G671" s="82">
        <f>G673+G683</f>
        <v>22695.600238901054</v>
      </c>
      <c r="H671" s="82">
        <f>H673</f>
        <v>1100</v>
      </c>
      <c r="I671" s="82">
        <f>I673</f>
        <v>2100</v>
      </c>
      <c r="J671" s="82"/>
      <c r="K671" s="79"/>
    </row>
    <row r="672" spans="1:19" x14ac:dyDescent="0.25">
      <c r="A672" s="292" t="s">
        <v>453</v>
      </c>
      <c r="B672" s="292"/>
      <c r="C672" s="292"/>
      <c r="D672" s="292"/>
      <c r="E672" s="276"/>
      <c r="F672" s="276"/>
      <c r="G672" s="276"/>
      <c r="H672" s="276"/>
      <c r="I672" s="276"/>
      <c r="J672" s="276"/>
      <c r="K672" s="307"/>
      <c r="L672" s="265"/>
    </row>
    <row r="673" spans="1:26" x14ac:dyDescent="0.25">
      <c r="A673" s="96" t="s">
        <v>324</v>
      </c>
      <c r="B673" s="99"/>
      <c r="C673" s="99"/>
      <c r="D673" s="99"/>
      <c r="E673" s="99"/>
      <c r="F673" s="93">
        <f t="shared" ref="F673:G673" si="105">F676</f>
        <v>4166.6099999999997</v>
      </c>
      <c r="G673" s="93">
        <f t="shared" si="105"/>
        <v>796.33685048775624</v>
      </c>
      <c r="H673" s="93">
        <f>H675</f>
        <v>1100</v>
      </c>
      <c r="I673" s="93">
        <f>I675</f>
        <v>2100</v>
      </c>
      <c r="J673" s="93"/>
      <c r="K673" s="94">
        <f>K678</f>
        <v>2000</v>
      </c>
      <c r="U673" s="117"/>
    </row>
    <row r="674" spans="1:26" x14ac:dyDescent="0.25">
      <c r="A674" s="286"/>
      <c r="B674" s="71"/>
      <c r="C674" s="286"/>
      <c r="D674" s="286"/>
      <c r="E674" s="286"/>
      <c r="F674" s="79"/>
      <c r="G674" s="79"/>
      <c r="H674" s="79"/>
      <c r="I674" s="79"/>
      <c r="J674" s="79"/>
      <c r="K674" s="79"/>
    </row>
    <row r="675" spans="1:26" x14ac:dyDescent="0.25">
      <c r="A675" s="166">
        <v>3</v>
      </c>
      <c r="B675" s="570" t="s">
        <v>18</v>
      </c>
      <c r="C675" s="570"/>
      <c r="D675" s="570"/>
      <c r="E675" s="570"/>
      <c r="F675" s="79"/>
      <c r="G675" s="79">
        <f>G676</f>
        <v>796.33685048775624</v>
      </c>
      <c r="H675" s="79">
        <f>H676</f>
        <v>1100</v>
      </c>
      <c r="I675" s="79">
        <f>I676</f>
        <v>2100</v>
      </c>
      <c r="J675" s="79"/>
      <c r="K675" s="79"/>
      <c r="V675" s="117"/>
      <c r="W675" s="117"/>
    </row>
    <row r="676" spans="1:26" x14ac:dyDescent="0.25">
      <c r="A676" s="166">
        <v>38</v>
      </c>
      <c r="B676" s="166" t="s">
        <v>165</v>
      </c>
      <c r="C676" s="166"/>
      <c r="D676" s="166"/>
      <c r="E676" s="166"/>
      <c r="F676" s="79">
        <f t="shared" ref="F676:G676" si="106">F677</f>
        <v>4166.6099999999997</v>
      </c>
      <c r="G676" s="79">
        <f t="shared" si="106"/>
        <v>796.33685048775624</v>
      </c>
      <c r="H676" s="79">
        <f>H677</f>
        <v>1100</v>
      </c>
      <c r="I676" s="79">
        <f>I677</f>
        <v>2100</v>
      </c>
      <c r="J676" s="79"/>
      <c r="K676" s="79"/>
      <c r="R676" s="164"/>
      <c r="S676" s="164"/>
      <c r="T676" s="117"/>
    </row>
    <row r="677" spans="1:26" x14ac:dyDescent="0.25">
      <c r="A677" s="166">
        <v>381</v>
      </c>
      <c r="B677" s="166" t="s">
        <v>166</v>
      </c>
      <c r="C677" s="166"/>
      <c r="D677" s="166"/>
      <c r="E677" s="166"/>
      <c r="F677" s="79">
        <f>SUM(F678:F679)</f>
        <v>4166.6099999999997</v>
      </c>
      <c r="G677" s="79">
        <f>SUM(G678:G679)</f>
        <v>796.33685048775624</v>
      </c>
      <c r="H677" s="79">
        <f>H678+H679</f>
        <v>1100</v>
      </c>
      <c r="I677" s="79">
        <f>I678</f>
        <v>2100</v>
      </c>
      <c r="J677" s="79"/>
      <c r="K677" s="79"/>
    </row>
    <row r="678" spans="1:26" x14ac:dyDescent="0.25">
      <c r="A678" s="286">
        <v>3811</v>
      </c>
      <c r="B678" s="71" t="s">
        <v>325</v>
      </c>
      <c r="C678" s="286"/>
      <c r="D678" s="286"/>
      <c r="E678" s="286"/>
      <c r="F678" s="72">
        <v>4166.6099999999997</v>
      </c>
      <c r="G678" s="72">
        <f>5000/7.5345</f>
        <v>663.61404207313024</v>
      </c>
      <c r="H678" s="72">
        <v>1000</v>
      </c>
      <c r="I678" s="72">
        <v>2100</v>
      </c>
      <c r="J678" s="72"/>
      <c r="K678" s="72">
        <v>2000</v>
      </c>
      <c r="L678" s="33">
        <f>56*12</f>
        <v>672</v>
      </c>
      <c r="M678" s="122" t="s">
        <v>751</v>
      </c>
      <c r="N678" s="122"/>
      <c r="O678" s="122"/>
      <c r="P678" s="122"/>
      <c r="X678" s="117"/>
      <c r="Y678" s="117"/>
      <c r="Z678" s="117"/>
    </row>
    <row r="679" spans="1:26" x14ac:dyDescent="0.25">
      <c r="A679" s="286">
        <v>3811</v>
      </c>
      <c r="B679" s="71" t="s">
        <v>326</v>
      </c>
      <c r="C679" s="286"/>
      <c r="D679" s="286"/>
      <c r="E679" s="286"/>
      <c r="F679" s="72"/>
      <c r="G679" s="72">
        <f>1000/7.5345</f>
        <v>132.72280841462606</v>
      </c>
      <c r="H679" s="72">
        <v>100</v>
      </c>
      <c r="I679" s="72">
        <v>0</v>
      </c>
      <c r="J679" s="72"/>
      <c r="K679" s="72"/>
    </row>
    <row r="680" spans="1:26" x14ac:dyDescent="0.25">
      <c r="A680" s="71"/>
      <c r="B680" s="71"/>
      <c r="C680" s="71"/>
      <c r="D680" s="71"/>
      <c r="E680" s="71"/>
      <c r="F680" s="72"/>
      <c r="G680" s="72"/>
      <c r="H680" s="72"/>
      <c r="I680" s="72"/>
      <c r="J680" s="72"/>
      <c r="K680" s="72"/>
    </row>
    <row r="681" spans="1:26" s="117" customFormat="1" x14ac:dyDescent="0.25">
      <c r="A681" s="81" t="s">
        <v>400</v>
      </c>
      <c r="B681" s="81"/>
      <c r="C681" s="81"/>
      <c r="D681" s="81"/>
      <c r="E681" s="81"/>
      <c r="F681" s="82"/>
      <c r="G681" s="82">
        <f>G683</f>
        <v>21899.263388413296</v>
      </c>
      <c r="H681" s="82">
        <f>H683</f>
        <v>20612</v>
      </c>
      <c r="I681" s="82">
        <f>I683</f>
        <v>11000</v>
      </c>
      <c r="J681" s="82"/>
      <c r="K681" s="79"/>
      <c r="L681" s="164"/>
      <c r="M681" s="164"/>
      <c r="N681" s="164"/>
      <c r="O681" s="164"/>
      <c r="P681" s="164"/>
      <c r="Q681" s="164"/>
      <c r="R681" s="33"/>
      <c r="S681" s="33"/>
      <c r="T681"/>
      <c r="U681"/>
      <c r="V681"/>
      <c r="W681"/>
      <c r="X681"/>
      <c r="Y681"/>
      <c r="Z681"/>
    </row>
    <row r="682" spans="1:26" x14ac:dyDescent="0.25">
      <c r="A682" s="292" t="s">
        <v>454</v>
      </c>
      <c r="B682" s="292"/>
      <c r="C682" s="292"/>
      <c r="D682" s="292"/>
      <c r="E682" s="276"/>
      <c r="F682" s="276"/>
      <c r="G682" s="276"/>
      <c r="H682" s="276"/>
      <c r="I682" s="276"/>
      <c r="J682" s="276"/>
      <c r="K682" s="307"/>
      <c r="L682" s="265"/>
    </row>
    <row r="683" spans="1:26" x14ac:dyDescent="0.25">
      <c r="A683" s="573" t="s">
        <v>105</v>
      </c>
      <c r="B683" s="573"/>
      <c r="C683" s="573"/>
      <c r="D683" s="573"/>
      <c r="E683" s="573"/>
      <c r="F683" s="94">
        <f t="shared" ref="F683:G683" si="107">F686</f>
        <v>0</v>
      </c>
      <c r="G683" s="94">
        <f t="shared" si="107"/>
        <v>21899.263388413296</v>
      </c>
      <c r="H683" s="94">
        <f>H685</f>
        <v>20612</v>
      </c>
      <c r="I683" s="94">
        <f>I685</f>
        <v>11000</v>
      </c>
      <c r="J683" s="94"/>
      <c r="K683" s="94"/>
    </row>
    <row r="684" spans="1:26" x14ac:dyDescent="0.25">
      <c r="A684" s="286"/>
      <c r="B684" s="71"/>
      <c r="C684" s="286"/>
      <c r="D684" s="286"/>
      <c r="E684" s="286"/>
      <c r="F684" s="79"/>
      <c r="G684" s="79"/>
      <c r="H684" s="79"/>
      <c r="I684" s="79"/>
      <c r="J684" s="79"/>
      <c r="K684" s="79"/>
    </row>
    <row r="685" spans="1:26" x14ac:dyDescent="0.25">
      <c r="A685" s="166">
        <v>3</v>
      </c>
      <c r="B685" s="570" t="s">
        <v>18</v>
      </c>
      <c r="C685" s="570"/>
      <c r="D685" s="570"/>
      <c r="E685" s="570"/>
      <c r="F685" s="79"/>
      <c r="G685" s="79">
        <f>G686</f>
        <v>21899.263388413296</v>
      </c>
      <c r="H685" s="79">
        <f>H686</f>
        <v>20612</v>
      </c>
      <c r="I685" s="79">
        <f>I686</f>
        <v>11000</v>
      </c>
      <c r="J685" s="79"/>
      <c r="K685" s="79"/>
    </row>
    <row r="686" spans="1:26" x14ac:dyDescent="0.25">
      <c r="A686" s="166">
        <v>38</v>
      </c>
      <c r="B686" s="166" t="s">
        <v>165</v>
      </c>
      <c r="C686" s="166"/>
      <c r="D686" s="166"/>
      <c r="E686" s="166"/>
      <c r="F686" s="79">
        <f t="shared" ref="F686:G686" si="108">F687</f>
        <v>0</v>
      </c>
      <c r="G686" s="79">
        <f t="shared" si="108"/>
        <v>21899.263388413296</v>
      </c>
      <c r="H686" s="79">
        <f>H687</f>
        <v>20612</v>
      </c>
      <c r="I686" s="79">
        <f>I687</f>
        <v>11000</v>
      </c>
      <c r="J686" s="79"/>
      <c r="K686" s="79"/>
    </row>
    <row r="687" spans="1:26" x14ac:dyDescent="0.25">
      <c r="A687" s="166">
        <v>381</v>
      </c>
      <c r="B687" s="166" t="s">
        <v>166</v>
      </c>
      <c r="C687" s="166"/>
      <c r="D687" s="166"/>
      <c r="E687" s="166"/>
      <c r="F687" s="79">
        <f>F688</f>
        <v>0</v>
      </c>
      <c r="G687" s="79">
        <f>G688+G689</f>
        <v>21899.263388413296</v>
      </c>
      <c r="H687" s="79">
        <f>H689+H688</f>
        <v>20612</v>
      </c>
      <c r="I687" s="79">
        <f>I688</f>
        <v>11000</v>
      </c>
      <c r="J687" s="79"/>
      <c r="K687" s="79"/>
    </row>
    <row r="688" spans="1:26" x14ac:dyDescent="0.25">
      <c r="A688" s="71">
        <v>3811</v>
      </c>
      <c r="B688" s="71" t="s">
        <v>327</v>
      </c>
      <c r="C688" s="71"/>
      <c r="D688" s="71"/>
      <c r="E688" s="71"/>
      <c r="F688" s="72"/>
      <c r="G688" s="72">
        <f>75000/7.5345</f>
        <v>9954.2106310969539</v>
      </c>
      <c r="H688" s="72">
        <v>11000</v>
      </c>
      <c r="I688" s="72">
        <v>11000</v>
      </c>
      <c r="J688" s="72"/>
      <c r="K688" s="72"/>
      <c r="L688" s="33" t="s">
        <v>741</v>
      </c>
    </row>
    <row r="689" spans="1:15" x14ac:dyDescent="0.25">
      <c r="A689" s="71">
        <v>3811</v>
      </c>
      <c r="B689" s="71" t="s">
        <v>351</v>
      </c>
      <c r="C689" s="71"/>
      <c r="D689" s="71"/>
      <c r="E689" s="71"/>
      <c r="F689" s="72"/>
      <c r="G689" s="72">
        <f>90000/7.5345</f>
        <v>11945.052757316344</v>
      </c>
      <c r="H689" s="72">
        <v>9612</v>
      </c>
      <c r="I689" s="72"/>
      <c r="J689" s="72"/>
      <c r="K689" s="72"/>
      <c r="L689" s="33">
        <f>801*12</f>
        <v>9612</v>
      </c>
    </row>
    <row r="690" spans="1:15" x14ac:dyDescent="0.25">
      <c r="A690" s="71"/>
      <c r="B690" s="71"/>
      <c r="C690" s="71"/>
      <c r="D690" s="71"/>
      <c r="E690" s="71"/>
      <c r="F690" s="272"/>
      <c r="G690" s="272"/>
      <c r="H690" s="272"/>
      <c r="I690" s="272"/>
      <c r="J690" s="272"/>
      <c r="K690" s="272"/>
    </row>
    <row r="691" spans="1:15" x14ac:dyDescent="0.25">
      <c r="A691" s="89" t="s">
        <v>328</v>
      </c>
      <c r="B691" s="89"/>
      <c r="C691" s="89"/>
      <c r="D691" s="89"/>
      <c r="E691" s="89"/>
      <c r="F691" s="90">
        <f t="shared" ref="F691:G691" si="109">F697</f>
        <v>6000</v>
      </c>
      <c r="G691" s="90">
        <f t="shared" si="109"/>
        <v>1327.2280841462605</v>
      </c>
      <c r="H691" s="90">
        <f>H692</f>
        <v>12000</v>
      </c>
      <c r="I691" s="90">
        <f>I692</f>
        <v>12000</v>
      </c>
      <c r="J691" s="90"/>
      <c r="K691" s="79"/>
    </row>
    <row r="692" spans="1:15" x14ac:dyDescent="0.25">
      <c r="A692" s="81" t="s">
        <v>107</v>
      </c>
      <c r="B692" s="81"/>
      <c r="C692" s="81"/>
      <c r="D692" s="81"/>
      <c r="E692" s="81"/>
      <c r="F692" s="158">
        <f t="shared" ref="F692" si="110">F694</f>
        <v>6000</v>
      </c>
      <c r="G692" s="82">
        <f>G694</f>
        <v>1327.2280841462605</v>
      </c>
      <c r="H692" s="82">
        <f>H694</f>
        <v>12000</v>
      </c>
      <c r="I692" s="82">
        <f>I694</f>
        <v>12000</v>
      </c>
      <c r="J692" s="82"/>
      <c r="K692" s="79"/>
    </row>
    <row r="693" spans="1:15" x14ac:dyDescent="0.25">
      <c r="A693" s="292" t="s">
        <v>455</v>
      </c>
      <c r="B693" s="292"/>
      <c r="C693" s="292"/>
      <c r="D693" s="292"/>
      <c r="E693" s="276"/>
      <c r="F693" s="276"/>
      <c r="G693" s="276"/>
      <c r="H693" s="276"/>
      <c r="I693" s="276"/>
      <c r="J693" s="276"/>
      <c r="K693" s="307"/>
      <c r="L693" s="265"/>
    </row>
    <row r="694" spans="1:15" x14ac:dyDescent="0.25">
      <c r="A694" s="96" t="s">
        <v>391</v>
      </c>
      <c r="B694" s="99"/>
      <c r="C694" s="99"/>
      <c r="D694" s="99"/>
      <c r="E694" s="99"/>
      <c r="F694" s="93">
        <f t="shared" ref="F694:G694" si="111">F697</f>
        <v>6000</v>
      </c>
      <c r="G694" s="93">
        <f t="shared" si="111"/>
        <v>1327.2280841462605</v>
      </c>
      <c r="H694" s="93">
        <f>H696</f>
        <v>12000</v>
      </c>
      <c r="I694" s="93">
        <f>I696</f>
        <v>12000</v>
      </c>
      <c r="J694" s="93"/>
      <c r="K694" s="94">
        <f>K699</f>
        <v>9038</v>
      </c>
    </row>
    <row r="695" spans="1:15" x14ac:dyDescent="0.25">
      <c r="A695" s="286"/>
      <c r="B695" s="286"/>
      <c r="C695" s="286"/>
      <c r="D695" s="286"/>
      <c r="E695" s="286"/>
      <c r="F695" s="79"/>
      <c r="G695" s="79"/>
      <c r="H695" s="79"/>
      <c r="I695" s="79"/>
      <c r="J695" s="79"/>
      <c r="K695" s="79"/>
    </row>
    <row r="696" spans="1:15" x14ac:dyDescent="0.25">
      <c r="A696" s="166">
        <v>3</v>
      </c>
      <c r="B696" s="570" t="s">
        <v>18</v>
      </c>
      <c r="C696" s="570"/>
      <c r="D696" s="570"/>
      <c r="E696" s="570"/>
      <c r="F696" s="79"/>
      <c r="G696" s="79">
        <f>G697</f>
        <v>1327.2280841462605</v>
      </c>
      <c r="H696" s="79">
        <f>H697</f>
        <v>12000</v>
      </c>
      <c r="I696" s="79">
        <f>I697</f>
        <v>12000</v>
      </c>
      <c r="J696" s="79"/>
      <c r="K696" s="79"/>
    </row>
    <row r="697" spans="1:15" x14ac:dyDescent="0.25">
      <c r="A697" s="166">
        <v>38</v>
      </c>
      <c r="B697" s="166" t="s">
        <v>165</v>
      </c>
      <c r="C697" s="166"/>
      <c r="D697" s="166"/>
      <c r="E697" s="166"/>
      <c r="F697" s="79">
        <f t="shared" ref="F697:G698" si="112">F698</f>
        <v>6000</v>
      </c>
      <c r="G697" s="79">
        <f t="shared" si="112"/>
        <v>1327.2280841462605</v>
      </c>
      <c r="H697" s="79">
        <f>H698</f>
        <v>12000</v>
      </c>
      <c r="I697" s="79">
        <f>I698</f>
        <v>12000</v>
      </c>
      <c r="J697" s="79"/>
      <c r="K697" s="79"/>
      <c r="O697" s="33">
        <f>SUM(L701:L710)</f>
        <v>8738</v>
      </c>
    </row>
    <row r="698" spans="1:15" x14ac:dyDescent="0.25">
      <c r="A698" s="166">
        <v>381</v>
      </c>
      <c r="B698" s="166" t="s">
        <v>166</v>
      </c>
      <c r="C698" s="166"/>
      <c r="D698" s="166"/>
      <c r="E698" s="166"/>
      <c r="F698" s="79">
        <f t="shared" si="112"/>
        <v>6000</v>
      </c>
      <c r="G698" s="79">
        <f t="shared" si="112"/>
        <v>1327.2280841462605</v>
      </c>
      <c r="H698" s="79">
        <f>H699</f>
        <v>12000</v>
      </c>
      <c r="I698" s="79">
        <f>I699</f>
        <v>12000</v>
      </c>
      <c r="J698" s="79"/>
      <c r="K698" s="79"/>
    </row>
    <row r="699" spans="1:15" x14ac:dyDescent="0.25">
      <c r="A699" s="71">
        <v>3811</v>
      </c>
      <c r="B699" s="71" t="s">
        <v>329</v>
      </c>
      <c r="C699" s="71"/>
      <c r="D699" s="71"/>
      <c r="E699" s="71"/>
      <c r="F699" s="72">
        <v>6000</v>
      </c>
      <c r="G699" s="72">
        <f>10000/7.5345</f>
        <v>1327.2280841462605</v>
      </c>
      <c r="H699" s="72">
        <v>12000</v>
      </c>
      <c r="I699" s="72">
        <v>12000</v>
      </c>
      <c r="J699" s="72"/>
      <c r="K699" s="72">
        <f>9038</f>
        <v>9038</v>
      </c>
      <c r="L699" s="33" t="s">
        <v>740</v>
      </c>
    </row>
    <row r="700" spans="1:15" x14ac:dyDescent="0.25">
      <c r="A700" s="64"/>
      <c r="B700" s="64"/>
      <c r="C700" s="64"/>
      <c r="D700" s="64"/>
      <c r="E700" s="64"/>
      <c r="F700" s="77"/>
      <c r="G700" s="77"/>
      <c r="H700" s="77"/>
      <c r="I700" s="77"/>
      <c r="J700" s="77"/>
      <c r="K700" s="77"/>
      <c r="M700" s="64" t="s">
        <v>389</v>
      </c>
    </row>
    <row r="701" spans="1:15" x14ac:dyDescent="0.25">
      <c r="L701" s="33">
        <v>1000</v>
      </c>
      <c r="M701" t="s">
        <v>390</v>
      </c>
    </row>
    <row r="702" spans="1:15" x14ac:dyDescent="0.25">
      <c r="L702" s="33">
        <v>600</v>
      </c>
      <c r="M702" t="s">
        <v>392</v>
      </c>
    </row>
    <row r="703" spans="1:15" x14ac:dyDescent="0.25">
      <c r="L703" s="33">
        <v>800</v>
      </c>
      <c r="M703" t="s">
        <v>306</v>
      </c>
    </row>
    <row r="704" spans="1:15" x14ac:dyDescent="0.25">
      <c r="F704" s="77"/>
      <c r="G704" s="77"/>
      <c r="H704" s="77"/>
      <c r="I704" s="77"/>
      <c r="J704" s="77"/>
      <c r="K704" s="77"/>
      <c r="M704" t="s">
        <v>393</v>
      </c>
    </row>
    <row r="705" spans="6:13" x14ac:dyDescent="0.25">
      <c r="F705" s="77"/>
      <c r="G705" s="77"/>
      <c r="H705" s="77"/>
      <c r="I705" s="77"/>
      <c r="J705" s="77"/>
      <c r="K705" s="77"/>
      <c r="L705" s="33">
        <v>238</v>
      </c>
      <c r="M705" t="s">
        <v>394</v>
      </c>
    </row>
    <row r="706" spans="6:13" x14ac:dyDescent="0.25">
      <c r="L706" s="33">
        <v>2000</v>
      </c>
      <c r="M706" t="s">
        <v>395</v>
      </c>
    </row>
    <row r="707" spans="6:13" x14ac:dyDescent="0.25">
      <c r="L707" s="33">
        <v>2000</v>
      </c>
      <c r="M707" t="s">
        <v>396</v>
      </c>
    </row>
    <row r="708" spans="6:13" x14ac:dyDescent="0.25">
      <c r="L708" s="33">
        <v>1100</v>
      </c>
      <c r="M708" t="s">
        <v>397</v>
      </c>
    </row>
    <row r="709" spans="6:13" x14ac:dyDescent="0.25">
      <c r="F709" s="106"/>
      <c r="G709" s="106"/>
      <c r="H709" s="106"/>
      <c r="I709" s="106"/>
      <c r="J709" s="106"/>
      <c r="K709" s="106"/>
      <c r="M709" t="s">
        <v>398</v>
      </c>
    </row>
    <row r="710" spans="6:13" x14ac:dyDescent="0.25">
      <c r="F710" s="106"/>
      <c r="G710" s="106"/>
      <c r="H710" s="106"/>
      <c r="I710" s="106"/>
      <c r="J710" s="106"/>
      <c r="K710" s="106"/>
      <c r="L710" s="33">
        <v>1000</v>
      </c>
      <c r="M710" t="s">
        <v>738</v>
      </c>
    </row>
    <row r="711" spans="6:13" x14ac:dyDescent="0.25">
      <c r="F711" s="106"/>
      <c r="G711" s="106"/>
      <c r="H711" s="106"/>
      <c r="I711" s="106"/>
      <c r="J711" s="106"/>
      <c r="K711" s="106"/>
      <c r="L711" s="33">
        <v>300</v>
      </c>
      <c r="M711" s="33" t="s">
        <v>739</v>
      </c>
    </row>
    <row r="712" spans="6:13" x14ac:dyDescent="0.25">
      <c r="F712" s="106"/>
      <c r="G712" s="106"/>
      <c r="H712" s="106"/>
      <c r="I712" s="106"/>
      <c r="J712" s="106"/>
      <c r="K712" s="106"/>
    </row>
    <row r="713" spans="6:13" x14ac:dyDescent="0.25">
      <c r="F713" s="106"/>
      <c r="G713" s="106"/>
      <c r="H713" s="106"/>
      <c r="I713" s="106"/>
      <c r="J713" s="106"/>
      <c r="K713" s="106"/>
    </row>
    <row r="714" spans="6:13" x14ac:dyDescent="0.25">
      <c r="F714" s="106"/>
      <c r="G714" s="106"/>
      <c r="H714" s="106"/>
      <c r="I714" s="106"/>
      <c r="J714" s="106"/>
      <c r="K714" s="106"/>
    </row>
    <row r="715" spans="6:13" x14ac:dyDescent="0.25">
      <c r="F715" s="106"/>
      <c r="G715" s="106"/>
      <c r="H715" s="106"/>
      <c r="I715" s="106"/>
      <c r="J715" s="106"/>
      <c r="K715" s="106"/>
    </row>
    <row r="716" spans="6:13" x14ac:dyDescent="0.25">
      <c r="F716" s="106"/>
      <c r="G716" s="106"/>
      <c r="H716" s="106"/>
      <c r="I716" s="106"/>
      <c r="J716" s="106"/>
      <c r="K716" s="106"/>
    </row>
  </sheetData>
  <mergeCells count="149">
    <mergeCell ref="A7:E7"/>
    <mergeCell ref="B22:E22"/>
    <mergeCell ref="A25:E25"/>
    <mergeCell ref="A26:E26"/>
    <mergeCell ref="A38:E38"/>
    <mergeCell ref="A70:E70"/>
    <mergeCell ref="B113:E113"/>
    <mergeCell ref="B122:E122"/>
    <mergeCell ref="B124:E124"/>
    <mergeCell ref="B125:E125"/>
    <mergeCell ref="A71:E71"/>
    <mergeCell ref="G72:G73"/>
    <mergeCell ref="H72:H73"/>
    <mergeCell ref="A73:E73"/>
    <mergeCell ref="B80:E80"/>
    <mergeCell ref="B91:E91"/>
    <mergeCell ref="A155:E155"/>
    <mergeCell ref="B159:E159"/>
    <mergeCell ref="A168:E168"/>
    <mergeCell ref="B171:E171"/>
    <mergeCell ref="B172:E172"/>
    <mergeCell ref="B173:E173"/>
    <mergeCell ref="B137:E137"/>
    <mergeCell ref="A139:E139"/>
    <mergeCell ref="B143:E143"/>
    <mergeCell ref="A147:E147"/>
    <mergeCell ref="A148:E148"/>
    <mergeCell ref="B151:E151"/>
    <mergeCell ref="G216:G217"/>
    <mergeCell ref="H216:H217"/>
    <mergeCell ref="A217:E217"/>
    <mergeCell ref="B222:E222"/>
    <mergeCell ref="B236:E236"/>
    <mergeCell ref="B251:E251"/>
    <mergeCell ref="A177:E177"/>
    <mergeCell ref="G192:G193"/>
    <mergeCell ref="A193:E193"/>
    <mergeCell ref="G212:G213"/>
    <mergeCell ref="H212:H213"/>
    <mergeCell ref="A213:E213"/>
    <mergeCell ref="A279:E279"/>
    <mergeCell ref="A292:E292"/>
    <mergeCell ref="B295:E295"/>
    <mergeCell ref="A300:E300"/>
    <mergeCell ref="G300:G301"/>
    <mergeCell ref="H300:H301"/>
    <mergeCell ref="A301:E301"/>
    <mergeCell ref="A258:E258"/>
    <mergeCell ref="B261:E261"/>
    <mergeCell ref="A266:E266"/>
    <mergeCell ref="A269:E269"/>
    <mergeCell ref="B272:E272"/>
    <mergeCell ref="B276:E276"/>
    <mergeCell ref="B297:E297"/>
    <mergeCell ref="B342:E342"/>
    <mergeCell ref="B344:E344"/>
    <mergeCell ref="B350:E350"/>
    <mergeCell ref="B352:E352"/>
    <mergeCell ref="G354:G355"/>
    <mergeCell ref="H354:H355"/>
    <mergeCell ref="B304:E304"/>
    <mergeCell ref="B306:E306"/>
    <mergeCell ref="B326:E326"/>
    <mergeCell ref="B328:E328"/>
    <mergeCell ref="B334:E334"/>
    <mergeCell ref="B336:E336"/>
    <mergeCell ref="A308:E308"/>
    <mergeCell ref="B311:E311"/>
    <mergeCell ref="B313:E313"/>
    <mergeCell ref="A315:E315"/>
    <mergeCell ref="B318:E318"/>
    <mergeCell ref="B320:E320"/>
    <mergeCell ref="A393:E393"/>
    <mergeCell ref="B400:E400"/>
    <mergeCell ref="B414:E414"/>
    <mergeCell ref="B417:E417"/>
    <mergeCell ref="B418:E418"/>
    <mergeCell ref="A423:E423"/>
    <mergeCell ref="G357:G358"/>
    <mergeCell ref="H357:H358"/>
    <mergeCell ref="A358:E358"/>
    <mergeCell ref="B374:E374"/>
    <mergeCell ref="B375:E375"/>
    <mergeCell ref="G381:G382"/>
    <mergeCell ref="A382:E382"/>
    <mergeCell ref="L453:L454"/>
    <mergeCell ref="M453:M454"/>
    <mergeCell ref="A454:E454"/>
    <mergeCell ref="A424:E424"/>
    <mergeCell ref="B427:E427"/>
    <mergeCell ref="B428:E428"/>
    <mergeCell ref="G431:G432"/>
    <mergeCell ref="H431:H432"/>
    <mergeCell ref="A432:E432"/>
    <mergeCell ref="A455:E455"/>
    <mergeCell ref="A456:E456"/>
    <mergeCell ref="B460:E460"/>
    <mergeCell ref="A462:E462"/>
    <mergeCell ref="G462:G463"/>
    <mergeCell ref="H462:H463"/>
    <mergeCell ref="B439:E439"/>
    <mergeCell ref="A453:E453"/>
    <mergeCell ref="G453:G454"/>
    <mergeCell ref="H453:H454"/>
    <mergeCell ref="A473:E473"/>
    <mergeCell ref="B481:E481"/>
    <mergeCell ref="A483:E483"/>
    <mergeCell ref="A490:E490"/>
    <mergeCell ref="A493:E493"/>
    <mergeCell ref="B508:E508"/>
    <mergeCell ref="L462:L463"/>
    <mergeCell ref="M462:M463"/>
    <mergeCell ref="A463:E463"/>
    <mergeCell ref="A464:E464"/>
    <mergeCell ref="A465:E465"/>
    <mergeCell ref="B469:E469"/>
    <mergeCell ref="A561:E561"/>
    <mergeCell ref="A568:E568"/>
    <mergeCell ref="B573:E573"/>
    <mergeCell ref="B513:E513"/>
    <mergeCell ref="B514:D514"/>
    <mergeCell ref="B515:E515"/>
    <mergeCell ref="B521:E521"/>
    <mergeCell ref="B522:E522"/>
    <mergeCell ref="B526:E526"/>
    <mergeCell ref="B696:E696"/>
    <mergeCell ref="A53:E53"/>
    <mergeCell ref="A54:E54"/>
    <mergeCell ref="B665:E665"/>
    <mergeCell ref="B667:E667"/>
    <mergeCell ref="B668:E668"/>
    <mergeCell ref="B675:E675"/>
    <mergeCell ref="A683:E683"/>
    <mergeCell ref="B685:E685"/>
    <mergeCell ref="B637:E637"/>
    <mergeCell ref="A656:E656"/>
    <mergeCell ref="B658:E658"/>
    <mergeCell ref="B659:E659"/>
    <mergeCell ref="B661:E661"/>
    <mergeCell ref="B663:E663"/>
    <mergeCell ref="A577:E577"/>
    <mergeCell ref="A578:E578"/>
    <mergeCell ref="A580:E580"/>
    <mergeCell ref="A591:E591"/>
    <mergeCell ref="A602:E602"/>
    <mergeCell ref="A611:E611"/>
    <mergeCell ref="B528:E528"/>
    <mergeCell ref="B539:E539"/>
    <mergeCell ref="A542:E542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Prenesena sredstva</vt:lpstr>
      <vt:lpstr>POSEBNI DIO</vt:lpstr>
      <vt:lpstr>Plan prihoda RADNI</vt:lpstr>
      <vt:lpstr>plan rashoda RADNI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Opcina ferdinandovac</cp:lastModifiedBy>
  <cp:lastPrinted>2024-11-15T08:08:48Z</cp:lastPrinted>
  <dcterms:created xsi:type="dcterms:W3CDTF">2022-08-12T12:51:27Z</dcterms:created>
  <dcterms:modified xsi:type="dcterms:W3CDTF">2024-11-15T08:09:13Z</dcterms:modified>
</cp:coreProperties>
</file>