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Korisnik\Desktop\OPĆINA\PRORAČUN\2023\Nova mapa\"/>
    </mc:Choice>
  </mc:AlternateContent>
  <xr:revisionPtr revIDLastSave="0" documentId="13_ncr:1_{570AD055-370F-4124-9E66-2E236E685E2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3" l="1"/>
  <c r="F80" i="3"/>
  <c r="F82" i="3"/>
  <c r="F39" i="3"/>
  <c r="F81" i="3"/>
  <c r="F59" i="3"/>
  <c r="F61" i="3"/>
  <c r="F44" i="3"/>
  <c r="F46" i="3"/>
  <c r="F45" i="3"/>
  <c r="F49" i="3"/>
  <c r="F54" i="3"/>
  <c r="F64" i="3"/>
  <c r="F69" i="3"/>
  <c r="F75" i="3"/>
  <c r="F87" i="3"/>
  <c r="F85" i="3"/>
  <c r="F84" i="3"/>
  <c r="F79" i="3"/>
  <c r="F74" i="3"/>
  <c r="F68" i="3"/>
  <c r="F63" i="3"/>
  <c r="F58" i="3"/>
  <c r="F53" i="3"/>
  <c r="F48" i="3"/>
  <c r="F43" i="3"/>
  <c r="F38" i="3"/>
  <c r="H39" i="3" l="1"/>
  <c r="H44" i="3"/>
  <c r="H59" i="3"/>
  <c r="H80" i="3"/>
  <c r="H82" i="3"/>
  <c r="H46" i="3"/>
  <c r="I80" i="3"/>
  <c r="I75" i="3"/>
  <c r="I69" i="3"/>
  <c r="I64" i="3"/>
  <c r="I59" i="3"/>
  <c r="I54" i="3"/>
  <c r="I49" i="3"/>
  <c r="I44" i="3"/>
  <c r="I39" i="3"/>
  <c r="I61" i="3"/>
  <c r="H61" i="3"/>
  <c r="I41" i="3"/>
  <c r="H41" i="3"/>
  <c r="I82" i="3"/>
  <c r="I81" i="3"/>
  <c r="H81" i="3"/>
  <c r="I46" i="3"/>
  <c r="I45" i="3"/>
  <c r="H45" i="3"/>
  <c r="I107" i="7"/>
  <c r="H133" i="7"/>
  <c r="G73" i="3"/>
  <c r="G37" i="3"/>
  <c r="G69" i="3"/>
  <c r="G64" i="3"/>
  <c r="G59" i="3"/>
  <c r="G80" i="3"/>
  <c r="G49" i="3"/>
  <c r="G39" i="3"/>
  <c r="G44" i="3"/>
  <c r="G85" i="3"/>
  <c r="G54" i="3"/>
  <c r="G75" i="3"/>
  <c r="G46" i="3"/>
  <c r="G82" i="3"/>
  <c r="G41" i="3"/>
  <c r="G68" i="7"/>
  <c r="G87" i="3"/>
  <c r="G45" i="3"/>
  <c r="G81" i="3"/>
  <c r="G86" i="3"/>
  <c r="G125" i="7"/>
  <c r="G266" i="7"/>
  <c r="G118" i="7"/>
  <c r="G112" i="7"/>
  <c r="G105" i="7"/>
  <c r="G107" i="7"/>
  <c r="F11" i="5"/>
  <c r="F16" i="5"/>
  <c r="E11" i="5"/>
  <c r="E16" i="5"/>
  <c r="D11" i="5"/>
  <c r="D16" i="5"/>
  <c r="G114" i="7"/>
  <c r="G109" i="7"/>
  <c r="H80" i="7"/>
  <c r="H79" i="7" s="1"/>
  <c r="H76" i="7" s="1"/>
  <c r="H77" i="7" s="1"/>
  <c r="I79" i="7"/>
  <c r="I76" i="7" s="1"/>
  <c r="G79" i="7"/>
  <c r="G76" i="7" s="1"/>
  <c r="G211" i="7"/>
  <c r="G210" i="7" s="1"/>
  <c r="G79" i="3"/>
  <c r="H37" i="3"/>
  <c r="I37" i="3"/>
  <c r="I68" i="3"/>
  <c r="H68" i="3"/>
  <c r="G68" i="3"/>
  <c r="G43" i="3"/>
  <c r="G38" i="3"/>
  <c r="I63" i="3"/>
  <c r="H63" i="3"/>
  <c r="G63" i="3"/>
  <c r="H58" i="3"/>
  <c r="G58" i="3"/>
  <c r="I58" i="3"/>
  <c r="I79" i="3"/>
  <c r="H79" i="3"/>
  <c r="I48" i="3"/>
  <c r="H48" i="3"/>
  <c r="G48" i="3"/>
  <c r="I43" i="3"/>
  <c r="H43" i="3"/>
  <c r="I38" i="3"/>
  <c r="H38" i="3"/>
  <c r="G84" i="3"/>
  <c r="I53" i="3"/>
  <c r="H53" i="3"/>
  <c r="G53" i="3"/>
  <c r="I74" i="3"/>
  <c r="G74" i="3"/>
  <c r="H135" i="7"/>
  <c r="I135" i="7"/>
  <c r="F24" i="5"/>
  <c r="D24" i="5"/>
  <c r="E24" i="5"/>
  <c r="F18" i="5"/>
  <c r="E18" i="5"/>
  <c r="D18" i="5"/>
  <c r="D19" i="5"/>
  <c r="E19" i="5"/>
  <c r="F19" i="5"/>
  <c r="F15" i="5"/>
  <c r="E15" i="5"/>
  <c r="D15" i="5"/>
  <c r="D14" i="5"/>
  <c r="F14" i="5"/>
  <c r="E14" i="5"/>
  <c r="H327" i="7"/>
  <c r="H325" i="7" s="1"/>
  <c r="I327" i="7"/>
  <c r="I325" i="7" s="1"/>
  <c r="H249" i="7"/>
  <c r="H246" i="7" s="1"/>
  <c r="I25" i="7"/>
  <c r="I22" i="7" s="1"/>
  <c r="H13" i="7"/>
  <c r="I13" i="7"/>
  <c r="G359" i="7"/>
  <c r="G357" i="7" s="1"/>
  <c r="H359" i="7"/>
  <c r="H357" i="7" s="1"/>
  <c r="I359" i="7"/>
  <c r="I357" i="7" s="1"/>
  <c r="H334" i="7"/>
  <c r="I334" i="7"/>
  <c r="G334" i="7"/>
  <c r="G327" i="7"/>
  <c r="G325" i="7" s="1"/>
  <c r="G249" i="7"/>
  <c r="G246" i="7" s="1"/>
  <c r="I246" i="7"/>
  <c r="H237" i="7"/>
  <c r="I237" i="7"/>
  <c r="G239" i="7"/>
  <c r="G237" i="7" s="1"/>
  <c r="H232" i="7"/>
  <c r="I232" i="7"/>
  <c r="G235" i="7"/>
  <c r="G232" i="7" s="1"/>
  <c r="G233" i="7" s="1"/>
  <c r="G229" i="7"/>
  <c r="G221" i="7"/>
  <c r="G219" i="7" s="1"/>
  <c r="G178" i="7"/>
  <c r="G174" i="7" s="1"/>
  <c r="G168" i="7"/>
  <c r="G164" i="7" s="1"/>
  <c r="G162" i="7"/>
  <c r="G159" i="7" s="1"/>
  <c r="G161" i="7" s="1"/>
  <c r="G140" i="7"/>
  <c r="G136" i="7" s="1"/>
  <c r="H142" i="7"/>
  <c r="I142" i="7"/>
  <c r="G146" i="7"/>
  <c r="G142" i="7" s="1"/>
  <c r="H54" i="7"/>
  <c r="I54" i="7"/>
  <c r="G56" i="7"/>
  <c r="G54" i="7" s="1"/>
  <c r="G19" i="7"/>
  <c r="J17" i="1"/>
  <c r="I12" i="3" l="1"/>
  <c r="H12" i="3"/>
  <c r="H16" i="3"/>
  <c r="I16" i="3"/>
  <c r="H19" i="3"/>
  <c r="I19" i="3"/>
  <c r="H23" i="3"/>
  <c r="I23" i="3"/>
  <c r="I27" i="3"/>
  <c r="H27" i="3"/>
  <c r="I31" i="3"/>
  <c r="H31" i="3"/>
  <c r="G31" i="3"/>
  <c r="G27" i="3"/>
  <c r="G23" i="3"/>
  <c r="G19" i="3"/>
  <c r="G16" i="3"/>
  <c r="G15" i="3"/>
  <c r="G24" i="3"/>
  <c r="G20" i="3"/>
  <c r="G30" i="3"/>
  <c r="G26" i="3"/>
  <c r="G22" i="3"/>
  <c r="G18" i="3"/>
  <c r="G14" i="3"/>
  <c r="G12" i="3"/>
  <c r="G11" i="3"/>
  <c r="J14" i="1"/>
  <c r="J15" i="1"/>
  <c r="F73" i="3"/>
  <c r="F37" i="3"/>
  <c r="P42" i="3" l="1"/>
  <c r="E82" i="3" l="1"/>
  <c r="E46" i="3"/>
  <c r="E41" i="3"/>
  <c r="E61" i="3"/>
  <c r="E66" i="3"/>
  <c r="E87" i="3"/>
  <c r="E81" i="3"/>
  <c r="E45" i="3"/>
  <c r="E16" i="3" l="1"/>
  <c r="E20" i="3"/>
  <c r="E24" i="3"/>
  <c r="F63" i="7" l="1"/>
  <c r="F64" i="7"/>
  <c r="F14" i="7"/>
  <c r="F15" i="7"/>
  <c r="F16" i="7"/>
  <c r="F20" i="7"/>
  <c r="F21" i="7"/>
  <c r="F31" i="7"/>
  <c r="F36" i="7"/>
  <c r="F38" i="7"/>
  <c r="F40" i="7"/>
  <c r="F41" i="7"/>
  <c r="F43" i="7"/>
  <c r="F48" i="7"/>
  <c r="F49" i="7"/>
  <c r="F53" i="7"/>
  <c r="F57" i="7"/>
  <c r="F61" i="7"/>
  <c r="F66" i="7"/>
  <c r="F71" i="7"/>
  <c r="F75" i="7"/>
  <c r="F86" i="7"/>
  <c r="F93" i="7"/>
  <c r="F94" i="7"/>
  <c r="F99" i="7"/>
  <c r="F105" i="7"/>
  <c r="F106" i="7"/>
  <c r="F107" i="7"/>
  <c r="F109" i="7"/>
  <c r="F112" i="7"/>
  <c r="F114" i="7"/>
  <c r="F116" i="7"/>
  <c r="F118" i="7"/>
  <c r="F119" i="7"/>
  <c r="F121" i="7"/>
  <c r="F125" i="7"/>
  <c r="F123" i="7"/>
  <c r="F127" i="7"/>
  <c r="F131" i="7"/>
  <c r="F132" i="7"/>
  <c r="F133" i="7"/>
  <c r="F135" i="7"/>
  <c r="F143" i="7"/>
  <c r="F145" i="7"/>
  <c r="F147" i="7"/>
  <c r="F150" i="7"/>
  <c r="F151" i="7"/>
  <c r="F153" i="7"/>
  <c r="F155" i="7"/>
  <c r="F156" i="7"/>
  <c r="F158" i="7"/>
  <c r="F161" i="7"/>
  <c r="F163" i="7"/>
  <c r="F171" i="7"/>
  <c r="F173" i="7"/>
  <c r="F190" i="7"/>
  <c r="F192" i="7"/>
  <c r="F195" i="7"/>
  <c r="F197" i="7"/>
  <c r="F198" i="7"/>
  <c r="F200" i="7"/>
  <c r="F203" i="7"/>
  <c r="F205" i="7"/>
  <c r="F207" i="7"/>
  <c r="F211" i="7"/>
  <c r="F214" i="7"/>
  <c r="F216" i="7"/>
  <c r="F217" i="7"/>
  <c r="F225" i="7"/>
  <c r="F228" i="7"/>
  <c r="F230" i="7"/>
  <c r="F233" i="7"/>
  <c r="F234" i="7"/>
  <c r="F236" i="7"/>
  <c r="F238" i="7"/>
  <c r="F240" i="7"/>
  <c r="F247" i="7"/>
  <c r="F250" i="7"/>
  <c r="F252" i="7"/>
  <c r="F255" i="7"/>
  <c r="F256" i="7"/>
  <c r="F258" i="7"/>
  <c r="F260" i="7"/>
  <c r="F261" i="7"/>
  <c r="F295" i="7"/>
  <c r="E225" i="7"/>
  <c r="E14" i="7"/>
  <c r="E15" i="7"/>
  <c r="E20" i="7"/>
  <c r="E21" i="7"/>
  <c r="E23" i="7"/>
  <c r="E24" i="7"/>
  <c r="E26" i="7"/>
  <c r="E31" i="7"/>
  <c r="E36" i="7"/>
  <c r="E37" i="7"/>
  <c r="E38" i="7"/>
  <c r="E40" i="7"/>
  <c r="E41" i="7"/>
  <c r="E44" i="7"/>
  <c r="E48" i="7"/>
  <c r="E49" i="7"/>
  <c r="E53" i="7"/>
  <c r="E68" i="7"/>
  <c r="E69" i="7"/>
  <c r="E71" i="7"/>
  <c r="E75" i="7"/>
  <c r="E83" i="7"/>
  <c r="E84" i="7"/>
  <c r="E86" i="7"/>
  <c r="E93" i="7"/>
  <c r="E94" i="7"/>
  <c r="E99" i="7"/>
  <c r="E105" i="7"/>
  <c r="E106" i="7"/>
  <c r="E109" i="7"/>
  <c r="E114" i="7"/>
  <c r="E116" i="7"/>
  <c r="E118" i="7"/>
  <c r="E119" i="7"/>
  <c r="E121" i="7"/>
  <c r="E123" i="7"/>
  <c r="E125" i="7"/>
  <c r="E127" i="7"/>
  <c r="E131" i="7"/>
  <c r="E132" i="7"/>
  <c r="E133" i="7"/>
  <c r="E135" i="7"/>
  <c r="E166" i="7"/>
  <c r="E169" i="7"/>
  <c r="E182" i="7"/>
  <c r="E183" i="7"/>
  <c r="E185" i="7"/>
  <c r="E192" i="7"/>
  <c r="E197" i="7"/>
  <c r="E198" i="7"/>
  <c r="E200" i="7"/>
  <c r="E201" i="7"/>
  <c r="E203" i="7"/>
  <c r="E205" i="7"/>
  <c r="E209" i="7"/>
  <c r="E211" i="7"/>
  <c r="E216" i="7"/>
  <c r="E226" i="7"/>
  <c r="E228" i="7"/>
  <c r="E244" i="7"/>
  <c r="E255" i="7"/>
  <c r="E256" i="7"/>
  <c r="E260" i="7"/>
  <c r="E261" i="7"/>
  <c r="F266" i="7"/>
  <c r="F267" i="7"/>
  <c r="E266" i="7"/>
  <c r="E267" i="7"/>
  <c r="F269" i="7"/>
  <c r="E269" i="7"/>
  <c r="F270" i="7"/>
  <c r="E270" i="7"/>
  <c r="F271" i="7"/>
  <c r="E271" i="7"/>
  <c r="F273" i="7"/>
  <c r="E273" i="7"/>
  <c r="F277" i="7"/>
  <c r="F279" i="7"/>
  <c r="E279" i="7"/>
  <c r="F283" i="7"/>
  <c r="F285" i="7"/>
  <c r="E285" i="7"/>
  <c r="F288" i="7"/>
  <c r="F290" i="7"/>
  <c r="E290" i="7"/>
  <c r="E295" i="7"/>
  <c r="E296" i="7"/>
  <c r="F296" i="7"/>
  <c r="E298" i="7"/>
  <c r="F298" i="7"/>
  <c r="F299" i="7"/>
  <c r="E299" i="7"/>
  <c r="F302" i="7"/>
  <c r="F304" i="7"/>
  <c r="E304" i="7"/>
  <c r="F309" i="7"/>
  <c r="F311" i="7"/>
  <c r="E311" i="7"/>
  <c r="F315" i="7"/>
  <c r="F317" i="7"/>
  <c r="E317" i="7"/>
  <c r="F320" i="7"/>
  <c r="F322" i="7"/>
  <c r="F324" i="7"/>
  <c r="F336" i="7"/>
  <c r="F332" i="7"/>
  <c r="F335" i="7"/>
  <c r="F338" i="7"/>
  <c r="F340" i="7"/>
  <c r="F342" i="7"/>
  <c r="F345" i="7"/>
  <c r="F348" i="7"/>
  <c r="F350" i="7"/>
  <c r="F353" i="7"/>
  <c r="F351" i="7"/>
  <c r="F355" i="7"/>
  <c r="F358" i="7"/>
  <c r="F360" i="7"/>
  <c r="F359" i="7" s="1"/>
  <c r="F357" i="7" s="1"/>
  <c r="F364" i="7"/>
  <c r="F366" i="7"/>
  <c r="F365" i="7" s="1"/>
  <c r="F363" i="7" s="1"/>
  <c r="F368" i="7"/>
  <c r="F370" i="7"/>
  <c r="F369" i="7" s="1"/>
  <c r="F367" i="7" s="1"/>
  <c r="F374" i="7"/>
  <c r="F376" i="7"/>
  <c r="F375" i="7" s="1"/>
  <c r="F373" i="7" s="1"/>
  <c r="F372" i="7" s="1"/>
  <c r="F371" i="7" s="1"/>
  <c r="E322" i="7"/>
  <c r="E328" i="7"/>
  <c r="E333" i="7"/>
  <c r="E332" i="7"/>
  <c r="E336" i="7"/>
  <c r="E340" i="7"/>
  <c r="E348" i="7"/>
  <c r="E342" i="7"/>
  <c r="E343" i="7"/>
  <c r="E345" i="7"/>
  <c r="E346" i="7"/>
  <c r="E350" i="7"/>
  <c r="E366" i="7"/>
  <c r="E370" i="7"/>
  <c r="E376" i="7"/>
  <c r="G375" i="7"/>
  <c r="G373" i="7" s="1"/>
  <c r="G372" i="7" s="1"/>
  <c r="G371" i="7" s="1"/>
  <c r="H375" i="7"/>
  <c r="H373" i="7" s="1"/>
  <c r="H372" i="7" s="1"/>
  <c r="H371" i="7" s="1"/>
  <c r="I375" i="7"/>
  <c r="I373" i="7" s="1"/>
  <c r="I372" i="7" s="1"/>
  <c r="I371" i="7" s="1"/>
  <c r="G369" i="7"/>
  <c r="G367" i="7" s="1"/>
  <c r="H369" i="7"/>
  <c r="H367" i="7" s="1"/>
  <c r="I369" i="7"/>
  <c r="I367" i="7" s="1"/>
  <c r="G365" i="7"/>
  <c r="G363" i="7" s="1"/>
  <c r="H365" i="7"/>
  <c r="H363" i="7" s="1"/>
  <c r="I365" i="7"/>
  <c r="I363" i="7" s="1"/>
  <c r="G362" i="7" l="1"/>
  <c r="F297" i="7"/>
  <c r="F294" i="7" s="1"/>
  <c r="F362" i="7"/>
  <c r="H362" i="7"/>
  <c r="I362" i="7"/>
  <c r="F354" i="7" l="1"/>
  <c r="F352" i="7" s="1"/>
  <c r="I354" i="7"/>
  <c r="I352" i="7" s="1"/>
  <c r="H354" i="7"/>
  <c r="H352" i="7" s="1"/>
  <c r="G354" i="7"/>
  <c r="G352" i="7" s="1"/>
  <c r="E352" i="7"/>
  <c r="G349" i="7"/>
  <c r="G347" i="7" s="1"/>
  <c r="H349" i="7"/>
  <c r="H347" i="7" s="1"/>
  <c r="I349" i="7"/>
  <c r="I347" i="7" s="1"/>
  <c r="F344" i="7"/>
  <c r="F341" i="7" s="1"/>
  <c r="G344" i="7"/>
  <c r="G341" i="7" s="1"/>
  <c r="H344" i="7"/>
  <c r="H341" i="7" s="1"/>
  <c r="I344" i="7"/>
  <c r="I341" i="7" s="1"/>
  <c r="F339" i="7"/>
  <c r="F337" i="7" s="1"/>
  <c r="G339" i="7"/>
  <c r="G337" i="7" s="1"/>
  <c r="H339" i="7"/>
  <c r="H337" i="7" s="1"/>
  <c r="I339" i="7"/>
  <c r="I337" i="7" s="1"/>
  <c r="G331" i="7"/>
  <c r="H331" i="7"/>
  <c r="I331" i="7"/>
  <c r="F323" i="7"/>
  <c r="F321" i="7"/>
  <c r="G321" i="7"/>
  <c r="G319" i="7" s="1"/>
  <c r="G318" i="7" s="1"/>
  <c r="H321" i="7"/>
  <c r="H319" i="7" s="1"/>
  <c r="H318" i="7" s="1"/>
  <c r="I321" i="7"/>
  <c r="I319" i="7" s="1"/>
  <c r="I318" i="7" s="1"/>
  <c r="F316" i="7"/>
  <c r="F313" i="7" s="1"/>
  <c r="F312" i="7" s="1"/>
  <c r="G316" i="7"/>
  <c r="G313" i="7" s="1"/>
  <c r="G312" i="7" s="1"/>
  <c r="H316" i="7"/>
  <c r="H313" i="7" s="1"/>
  <c r="H312" i="7" s="1"/>
  <c r="I316" i="7"/>
  <c r="I313" i="7" s="1"/>
  <c r="I312" i="7" s="1"/>
  <c r="F310" i="7"/>
  <c r="F307" i="7" s="1"/>
  <c r="F306" i="7" s="1"/>
  <c r="G310" i="7"/>
  <c r="G307" i="7" s="1"/>
  <c r="G306" i="7" s="1"/>
  <c r="H310" i="7"/>
  <c r="H307" i="7" s="1"/>
  <c r="H306" i="7" s="1"/>
  <c r="I310" i="7"/>
  <c r="I307" i="7" s="1"/>
  <c r="I306" i="7" s="1"/>
  <c r="F303" i="7"/>
  <c r="F301" i="7" s="1"/>
  <c r="F300" i="7" s="1"/>
  <c r="G303" i="7"/>
  <c r="G301" i="7" s="1"/>
  <c r="G300" i="7" s="1"/>
  <c r="H303" i="7"/>
  <c r="H301" i="7" s="1"/>
  <c r="H300" i="7" s="1"/>
  <c r="I303" i="7"/>
  <c r="I301" i="7" s="1"/>
  <c r="I300" i="7" s="1"/>
  <c r="G297" i="7"/>
  <c r="H297" i="7"/>
  <c r="I297" i="7"/>
  <c r="G330" i="7" l="1"/>
  <c r="G329" i="7" s="1"/>
  <c r="F349" i="7"/>
  <c r="F347" i="7" s="1"/>
  <c r="H330" i="7"/>
  <c r="H329" i="7" s="1"/>
  <c r="F319" i="7"/>
  <c r="F318" i="7" s="1"/>
  <c r="F305" i="7" s="1"/>
  <c r="F334" i="7"/>
  <c r="F331" i="7" s="1"/>
  <c r="I330" i="7"/>
  <c r="I329" i="7" s="1"/>
  <c r="G305" i="7"/>
  <c r="I305" i="7"/>
  <c r="H305" i="7"/>
  <c r="F293" i="7"/>
  <c r="F291" i="7" s="1"/>
  <c r="G294" i="7"/>
  <c r="H294" i="7"/>
  <c r="I294" i="7"/>
  <c r="F289" i="7"/>
  <c r="F287" i="7" s="1"/>
  <c r="F286" i="7" s="1"/>
  <c r="G289" i="7"/>
  <c r="G287" i="7" s="1"/>
  <c r="G286" i="7" s="1"/>
  <c r="H289" i="7"/>
  <c r="H287" i="7" s="1"/>
  <c r="H286" i="7" s="1"/>
  <c r="I289" i="7"/>
  <c r="I287" i="7" s="1"/>
  <c r="I286" i="7" s="1"/>
  <c r="G284" i="7"/>
  <c r="G281" i="7" s="1"/>
  <c r="G280" i="7" s="1"/>
  <c r="H284" i="7"/>
  <c r="H281" i="7" s="1"/>
  <c r="H280" i="7" s="1"/>
  <c r="I284" i="7"/>
  <c r="I281" i="7" s="1"/>
  <c r="I280" i="7" s="1"/>
  <c r="F284" i="7"/>
  <c r="F281" i="7" s="1"/>
  <c r="F280" i="7" s="1"/>
  <c r="G278" i="7"/>
  <c r="G275" i="7" s="1"/>
  <c r="G274" i="7" s="1"/>
  <c r="H278" i="7"/>
  <c r="H275" i="7" s="1"/>
  <c r="H274" i="7" s="1"/>
  <c r="I278" i="7"/>
  <c r="I275" i="7" s="1"/>
  <c r="I274" i="7" s="1"/>
  <c r="F278" i="7"/>
  <c r="F275" i="7" s="1"/>
  <c r="F274" i="7" s="1"/>
  <c r="G268" i="7"/>
  <c r="H268" i="7"/>
  <c r="I268" i="7"/>
  <c r="G272" i="7"/>
  <c r="H272" i="7"/>
  <c r="I272" i="7"/>
  <c r="F272" i="7"/>
  <c r="G257" i="7"/>
  <c r="H257" i="7"/>
  <c r="I257" i="7"/>
  <c r="G259" i="7"/>
  <c r="H259" i="7"/>
  <c r="I259" i="7"/>
  <c r="F259" i="7"/>
  <c r="F257" i="7"/>
  <c r="F251" i="7"/>
  <c r="F249" i="7"/>
  <c r="F239" i="7"/>
  <c r="F237" i="7" s="1"/>
  <c r="F235" i="7"/>
  <c r="F232" i="7" s="1"/>
  <c r="F229" i="7"/>
  <c r="F227" i="7"/>
  <c r="G227" i="7"/>
  <c r="G223" i="7" s="1"/>
  <c r="H227" i="7"/>
  <c r="H223" i="7" s="1"/>
  <c r="H218" i="7" s="1"/>
  <c r="I227" i="7"/>
  <c r="I223" i="7" s="1"/>
  <c r="I218" i="7" s="1"/>
  <c r="G215" i="7"/>
  <c r="G213" i="7" s="1"/>
  <c r="G212" i="7" s="1"/>
  <c r="H215" i="7"/>
  <c r="H213" i="7" s="1"/>
  <c r="H212" i="7" s="1"/>
  <c r="I215" i="7"/>
  <c r="I213" i="7" s="1"/>
  <c r="I212" i="7" s="1"/>
  <c r="F210" i="7"/>
  <c r="H210" i="7"/>
  <c r="I210" i="7"/>
  <c r="F208" i="7"/>
  <c r="G208" i="7"/>
  <c r="G206" i="7" s="1"/>
  <c r="H208" i="7"/>
  <c r="I208" i="7"/>
  <c r="F204" i="7"/>
  <c r="G204" i="7"/>
  <c r="H204" i="7"/>
  <c r="I204" i="7"/>
  <c r="F202" i="7"/>
  <c r="G202" i="7"/>
  <c r="H202" i="7"/>
  <c r="I202" i="7"/>
  <c r="G196" i="7"/>
  <c r="G194" i="7" s="1"/>
  <c r="H196" i="7"/>
  <c r="H194" i="7" s="1"/>
  <c r="I196" i="7"/>
  <c r="I194" i="7" s="1"/>
  <c r="F191" i="7"/>
  <c r="G191" i="7"/>
  <c r="G188" i="7" s="1"/>
  <c r="G186" i="7" s="1"/>
  <c r="H191" i="7"/>
  <c r="H188" i="7" s="1"/>
  <c r="H186" i="7" s="1"/>
  <c r="I191" i="7"/>
  <c r="I188" i="7" s="1"/>
  <c r="I186" i="7" s="1"/>
  <c r="F188" i="7"/>
  <c r="F186" i="7" s="1"/>
  <c r="F172" i="7"/>
  <c r="F170" i="7" s="1"/>
  <c r="F162" i="7"/>
  <c r="F159" i="7" s="1"/>
  <c r="F157" i="7"/>
  <c r="F154" i="7" s="1"/>
  <c r="F152" i="7"/>
  <c r="F149" i="7" s="1"/>
  <c r="F146" i="7"/>
  <c r="F142" i="7" s="1"/>
  <c r="F134" i="7"/>
  <c r="F129" i="7" s="1"/>
  <c r="G134" i="7"/>
  <c r="G129" i="7" s="1"/>
  <c r="G128" i="7" s="1"/>
  <c r="H134" i="7"/>
  <c r="H129" i="7" s="1"/>
  <c r="I134" i="7"/>
  <c r="I129" i="7" s="1"/>
  <c r="I128" i="7" s="1"/>
  <c r="F126" i="7"/>
  <c r="F122" i="7" s="1"/>
  <c r="G126" i="7"/>
  <c r="G122" i="7" s="1"/>
  <c r="G123" i="7" s="1"/>
  <c r="H126" i="7"/>
  <c r="H122" i="7" s="1"/>
  <c r="H123" i="7" s="1"/>
  <c r="I126" i="7"/>
  <c r="I122" i="7" s="1"/>
  <c r="F120" i="7"/>
  <c r="F117" i="7" s="1"/>
  <c r="G120" i="7"/>
  <c r="G117" i="7" s="1"/>
  <c r="G119" i="7" s="1"/>
  <c r="H120" i="7"/>
  <c r="H117" i="7" s="1"/>
  <c r="H119" i="7" s="1"/>
  <c r="I120" i="7"/>
  <c r="I117" i="7" s="1"/>
  <c r="I119" i="7" s="1"/>
  <c r="F115" i="7"/>
  <c r="F113" i="7"/>
  <c r="G115" i="7"/>
  <c r="H115" i="7"/>
  <c r="I115" i="7"/>
  <c r="G113" i="7"/>
  <c r="H113" i="7"/>
  <c r="I113" i="7"/>
  <c r="F108" i="7"/>
  <c r="F103" i="7" s="1"/>
  <c r="G108" i="7"/>
  <c r="G103" i="7" s="1"/>
  <c r="G106" i="7" s="1"/>
  <c r="H108" i="7"/>
  <c r="H103" i="7" s="1"/>
  <c r="H106" i="7" s="1"/>
  <c r="I108" i="7"/>
  <c r="I103" i="7" s="1"/>
  <c r="F98" i="7"/>
  <c r="F97" i="7" s="1"/>
  <c r="F96" i="7" s="1"/>
  <c r="F95" i="7" s="1"/>
  <c r="G98" i="7"/>
  <c r="G97" i="7" s="1"/>
  <c r="G96" i="7" s="1"/>
  <c r="G95" i="7" s="1"/>
  <c r="H98" i="7"/>
  <c r="H97" i="7" s="1"/>
  <c r="H96" i="7" s="1"/>
  <c r="H95" i="7" s="1"/>
  <c r="I98" i="7"/>
  <c r="I97" i="7" s="1"/>
  <c r="I96" i="7" s="1"/>
  <c r="I95" i="7" s="1"/>
  <c r="G92" i="7"/>
  <c r="G91" i="7" s="1"/>
  <c r="G89" i="7" s="1"/>
  <c r="G88" i="7" s="1"/>
  <c r="H92" i="7"/>
  <c r="H91" i="7" s="1"/>
  <c r="H89" i="7" s="1"/>
  <c r="H88" i="7" s="1"/>
  <c r="I92" i="7"/>
  <c r="I91" i="7" s="1"/>
  <c r="I89" i="7" s="1"/>
  <c r="I88" i="7" s="1"/>
  <c r="F85" i="7"/>
  <c r="F83" i="7" s="1"/>
  <c r="G85" i="7"/>
  <c r="H85" i="7"/>
  <c r="I85" i="7"/>
  <c r="G82" i="7"/>
  <c r="G81" i="7" s="1"/>
  <c r="H82" i="7"/>
  <c r="H81" i="7" s="1"/>
  <c r="I82" i="7"/>
  <c r="I81" i="7" s="1"/>
  <c r="G74" i="7"/>
  <c r="G72" i="7" s="1"/>
  <c r="H74" i="7"/>
  <c r="H72" i="7" s="1"/>
  <c r="I74" i="7"/>
  <c r="I72" i="7" s="1"/>
  <c r="F74" i="7"/>
  <c r="F73" i="7" s="1"/>
  <c r="F72" i="7" s="1"/>
  <c r="G70" i="7"/>
  <c r="G67" i="7" s="1"/>
  <c r="G69" i="7" s="1"/>
  <c r="H70" i="7"/>
  <c r="H67" i="7" s="1"/>
  <c r="H69" i="7" s="1"/>
  <c r="I70" i="7"/>
  <c r="I67" i="7" s="1"/>
  <c r="F70" i="7"/>
  <c r="F67" i="7" s="1"/>
  <c r="F69" i="7" s="1"/>
  <c r="F65" i="7"/>
  <c r="F62" i="7" s="1"/>
  <c r="F60" i="7"/>
  <c r="F58" i="7" s="1"/>
  <c r="F56" i="7"/>
  <c r="F54" i="7" s="1"/>
  <c r="G52" i="7"/>
  <c r="G50" i="7" s="1"/>
  <c r="H52" i="7"/>
  <c r="H50" i="7" s="1"/>
  <c r="I52" i="7"/>
  <c r="I50" i="7" s="1"/>
  <c r="F52" i="7"/>
  <c r="F51" i="7" s="1"/>
  <c r="F50" i="7" s="1"/>
  <c r="I47" i="7"/>
  <c r="I45" i="7" s="1"/>
  <c r="G47" i="7"/>
  <c r="G45" i="7" s="1"/>
  <c r="H47" i="7"/>
  <c r="H46" i="7" s="1"/>
  <c r="F42" i="7"/>
  <c r="G42" i="7"/>
  <c r="H42" i="7"/>
  <c r="I42" i="7"/>
  <c r="F39" i="7"/>
  <c r="G39" i="7"/>
  <c r="H39" i="7"/>
  <c r="I39" i="7"/>
  <c r="G30" i="7"/>
  <c r="G29" i="7" s="1"/>
  <c r="G28" i="7" s="1"/>
  <c r="G27" i="7" s="1"/>
  <c r="H30" i="7"/>
  <c r="H29" i="7" s="1"/>
  <c r="H28" i="7" s="1"/>
  <c r="H27" i="7" s="1"/>
  <c r="I30" i="7"/>
  <c r="I29" i="7" s="1"/>
  <c r="I28" i="7" s="1"/>
  <c r="I27" i="7" s="1"/>
  <c r="F30" i="7"/>
  <c r="F29" i="7" s="1"/>
  <c r="F28" i="7" s="1"/>
  <c r="F27" i="7" s="1"/>
  <c r="G18" i="7"/>
  <c r="G17" i="7" s="1"/>
  <c r="H19" i="7"/>
  <c r="H18" i="7" s="1"/>
  <c r="H17" i="7" s="1"/>
  <c r="I19" i="7"/>
  <c r="I18" i="7" s="1"/>
  <c r="I17" i="7" s="1"/>
  <c r="G13" i="7"/>
  <c r="G11" i="7" s="1"/>
  <c r="H11" i="7"/>
  <c r="I11" i="7"/>
  <c r="E375" i="7"/>
  <c r="E369" i="7"/>
  <c r="E365" i="7"/>
  <c r="E339" i="7"/>
  <c r="E334" i="7"/>
  <c r="E331" i="7" s="1"/>
  <c r="E327" i="7"/>
  <c r="E325" i="7" s="1"/>
  <c r="E326" i="7" s="1"/>
  <c r="E321" i="7"/>
  <c r="E319" i="7" s="1"/>
  <c r="E320" i="7" s="1"/>
  <c r="E316" i="7"/>
  <c r="E313" i="7" s="1"/>
  <c r="E312" i="7" s="1"/>
  <c r="E310" i="7"/>
  <c r="E303" i="7"/>
  <c r="H128" i="7" l="1"/>
  <c r="H132" i="7"/>
  <c r="H293" i="7"/>
  <c r="H291" i="7" s="1"/>
  <c r="H295" i="7"/>
  <c r="G218" i="7"/>
  <c r="G225" i="7"/>
  <c r="G293" i="7"/>
  <c r="G291" i="7" s="1"/>
  <c r="G295" i="7"/>
  <c r="I293" i="7"/>
  <c r="I291" i="7" s="1"/>
  <c r="I295" i="7"/>
  <c r="H206" i="7"/>
  <c r="I253" i="7"/>
  <c r="I245" i="7" s="1"/>
  <c r="H253" i="7"/>
  <c r="H245" i="7" s="1"/>
  <c r="I10" i="7"/>
  <c r="I9" i="7" s="1"/>
  <c r="I8" i="7" s="1"/>
  <c r="I35" i="7"/>
  <c r="H10" i="7"/>
  <c r="G253" i="7"/>
  <c r="G245" i="7" s="1"/>
  <c r="G35" i="7"/>
  <c r="G34" i="7" s="1"/>
  <c r="E364" i="7"/>
  <c r="E363" i="7"/>
  <c r="F330" i="7"/>
  <c r="F329" i="7" s="1"/>
  <c r="G199" i="7"/>
  <c r="G193" i="7" s="1"/>
  <c r="E349" i="7"/>
  <c r="E347" i="7" s="1"/>
  <c r="H199" i="7"/>
  <c r="H264" i="7"/>
  <c r="I264" i="7"/>
  <c r="F268" i="7"/>
  <c r="F264" i="7" s="1"/>
  <c r="F263" i="7" s="1"/>
  <c r="F262" i="7" s="1"/>
  <c r="F246" i="7"/>
  <c r="G264" i="7"/>
  <c r="F253" i="7"/>
  <c r="E309" i="7"/>
  <c r="E307" i="7"/>
  <c r="H35" i="7"/>
  <c r="F223" i="7"/>
  <c r="F218" i="7" s="1"/>
  <c r="F215" i="7"/>
  <c r="F213" i="7" s="1"/>
  <c r="F212" i="7" s="1"/>
  <c r="F128" i="7"/>
  <c r="F206" i="7"/>
  <c r="I206" i="7"/>
  <c r="F199" i="7"/>
  <c r="I199" i="7"/>
  <c r="F196" i="7"/>
  <c r="F194" i="7" s="1"/>
  <c r="H110" i="7"/>
  <c r="H102" i="7" s="1"/>
  <c r="G110" i="7"/>
  <c r="G102" i="7" s="1"/>
  <c r="F110" i="7"/>
  <c r="F102" i="7" s="1"/>
  <c r="I110" i="7"/>
  <c r="I102" i="7" s="1"/>
  <c r="F92" i="7"/>
  <c r="F91" i="7" s="1"/>
  <c r="F89" i="7" s="1"/>
  <c r="F88" i="7" s="1"/>
  <c r="F87" i="7" s="1"/>
  <c r="G87" i="7"/>
  <c r="H87" i="7"/>
  <c r="I87" i="7"/>
  <c r="F82" i="7"/>
  <c r="F81" i="7" s="1"/>
  <c r="F59" i="7"/>
  <c r="F55" i="7"/>
  <c r="H12" i="7"/>
  <c r="G33" i="7"/>
  <c r="F19" i="7"/>
  <c r="F18" i="7" s="1"/>
  <c r="F17" i="7" s="1"/>
  <c r="H9" i="7"/>
  <c r="H8" i="7" s="1"/>
  <c r="H45" i="7"/>
  <c r="F47" i="7"/>
  <c r="F45" i="7" s="1"/>
  <c r="G46" i="7"/>
  <c r="F13" i="7"/>
  <c r="F11" i="7" s="1"/>
  <c r="I46" i="7"/>
  <c r="F35" i="7"/>
  <c r="G10" i="7"/>
  <c r="G9" i="7" s="1"/>
  <c r="G8" i="7" s="1"/>
  <c r="G12" i="7"/>
  <c r="E344" i="7"/>
  <c r="E341" i="7" s="1"/>
  <c r="I12" i="7"/>
  <c r="E373" i="7"/>
  <c r="E372" i="7" s="1"/>
  <c r="E371" i="7" s="1"/>
  <c r="E374" i="7"/>
  <c r="E367" i="7"/>
  <c r="E368" i="7"/>
  <c r="E337" i="7"/>
  <c r="E338" i="7"/>
  <c r="E318" i="7"/>
  <c r="E315" i="7"/>
  <c r="E301" i="7"/>
  <c r="E300" i="7" s="1"/>
  <c r="E302" i="7"/>
  <c r="E297" i="7"/>
  <c r="E294" i="7" s="1"/>
  <c r="E293" i="7" s="1"/>
  <c r="E289" i="7"/>
  <c r="E287" i="7" s="1"/>
  <c r="E284" i="7"/>
  <c r="E281" i="7" s="1"/>
  <c r="E278" i="7"/>
  <c r="E275" i="7" s="1"/>
  <c r="E272" i="7"/>
  <c r="I263" i="7" l="1"/>
  <c r="I262" i="7" s="1"/>
  <c r="I267" i="7"/>
  <c r="H263" i="7"/>
  <c r="H262" i="7" s="1"/>
  <c r="H267" i="7"/>
  <c r="G263" i="7"/>
  <c r="G262" i="7" s="1"/>
  <c r="G267" i="7"/>
  <c r="H193" i="7"/>
  <c r="H100" i="7" s="1"/>
  <c r="H34" i="7"/>
  <c r="H33" i="7" s="1"/>
  <c r="I34" i="7"/>
  <c r="I33" i="7" s="1"/>
  <c r="I193" i="7"/>
  <c r="I100" i="7" s="1"/>
  <c r="E362" i="7"/>
  <c r="F245" i="7"/>
  <c r="E306" i="7"/>
  <c r="E305" i="7" s="1"/>
  <c r="G100" i="7"/>
  <c r="F193" i="7"/>
  <c r="F34" i="7"/>
  <c r="F33" i="7" s="1"/>
  <c r="F10" i="7"/>
  <c r="F9" i="7" s="1"/>
  <c r="F8" i="7" s="1"/>
  <c r="F12" i="7"/>
  <c r="F46" i="7"/>
  <c r="E330" i="7"/>
  <c r="E291" i="7"/>
  <c r="E286" i="7"/>
  <c r="E288" i="7"/>
  <c r="E268" i="7"/>
  <c r="E264" i="7" s="1"/>
  <c r="E263" i="7" s="1"/>
  <c r="E280" i="7"/>
  <c r="E283" i="7"/>
  <c r="E274" i="7"/>
  <c r="E277" i="7"/>
  <c r="E259" i="7"/>
  <c r="E253" i="7" s="1"/>
  <c r="E245" i="7" s="1"/>
  <c r="G32" i="7" l="1"/>
  <c r="G7" i="7" s="1"/>
  <c r="H32" i="7"/>
  <c r="H7" i="7" s="1"/>
  <c r="I32" i="7"/>
  <c r="I7" i="7" s="1"/>
  <c r="E329" i="7"/>
  <c r="F100" i="7"/>
  <c r="F32" i="7" s="1"/>
  <c r="F7" i="7" s="1"/>
  <c r="E262" i="7"/>
  <c r="E243" i="7" l="1"/>
  <c r="E241" i="7" s="1"/>
  <c r="E242" i="7" s="1"/>
  <c r="E227" i="7"/>
  <c r="E223" i="7" s="1"/>
  <c r="E215" i="7"/>
  <c r="E208" i="7"/>
  <c r="E210" i="7"/>
  <c r="E204" i="7"/>
  <c r="E202" i="7"/>
  <c r="E191" i="7"/>
  <c r="E190" i="7" s="1"/>
  <c r="E188" i="7" s="1"/>
  <c r="E186" i="7" s="1"/>
  <c r="E184" i="7"/>
  <c r="E180" i="7" s="1"/>
  <c r="E168" i="7"/>
  <c r="E164" i="7" s="1"/>
  <c r="E134" i="7"/>
  <c r="E129" i="7" s="1"/>
  <c r="E126" i="7"/>
  <c r="E122" i="7" s="1"/>
  <c r="E120" i="7"/>
  <c r="E117" i="7" s="1"/>
  <c r="E115" i="7"/>
  <c r="E113" i="7"/>
  <c r="E108" i="7"/>
  <c r="E103" i="7" s="1"/>
  <c r="E98" i="7"/>
  <c r="E97" i="7" s="1"/>
  <c r="E96" i="7" s="1"/>
  <c r="E95" i="7" s="1"/>
  <c r="E82" i="7"/>
  <c r="E81" i="7" s="1"/>
  <c r="E85" i="7"/>
  <c r="E74" i="7"/>
  <c r="E73" i="7" s="1"/>
  <c r="E72" i="7" s="1"/>
  <c r="E70" i="7"/>
  <c r="E67" i="7" s="1"/>
  <c r="E52" i="7"/>
  <c r="E51" i="7" s="1"/>
  <c r="E50" i="7" s="1"/>
  <c r="E47" i="7"/>
  <c r="E46" i="7" s="1"/>
  <c r="E42" i="7"/>
  <c r="E30" i="7"/>
  <c r="E29" i="7" s="1"/>
  <c r="E28" i="7" s="1"/>
  <c r="E27" i="7" s="1"/>
  <c r="E25" i="7"/>
  <c r="E22" i="7" s="1"/>
  <c r="E16" i="7"/>
  <c r="E39" i="7" l="1"/>
  <c r="E35" i="7" s="1"/>
  <c r="E218" i="7"/>
  <c r="E206" i="7"/>
  <c r="E207" i="7" s="1"/>
  <c r="E214" i="7"/>
  <c r="E213" i="7"/>
  <c r="E212" i="7" s="1"/>
  <c r="E199" i="7"/>
  <c r="E196" i="7"/>
  <c r="E194" i="7" s="1"/>
  <c r="E128" i="7"/>
  <c r="E110" i="7"/>
  <c r="E111" i="7" s="1"/>
  <c r="E92" i="7"/>
  <c r="E91" i="7" s="1"/>
  <c r="E89" i="7" s="1"/>
  <c r="E88" i="7" s="1"/>
  <c r="E87" i="7" s="1"/>
  <c r="E13" i="7"/>
  <c r="E11" i="7" s="1"/>
  <c r="E45" i="7"/>
  <c r="E19" i="7"/>
  <c r="E18" i="7" s="1"/>
  <c r="E17" i="7" s="1"/>
  <c r="E195" i="7" l="1"/>
  <c r="E193" i="7"/>
  <c r="E102" i="7"/>
  <c r="E10" i="7"/>
  <c r="E9" i="7" s="1"/>
  <c r="E8" i="7" s="1"/>
  <c r="E12" i="7"/>
  <c r="E34" i="7"/>
  <c r="E33" i="7" s="1"/>
  <c r="E100" i="7" l="1"/>
  <c r="E32" i="7" s="1"/>
  <c r="E7" i="7" s="1"/>
  <c r="C11" i="5"/>
  <c r="C13" i="5"/>
  <c r="C14" i="5"/>
  <c r="C15" i="5"/>
  <c r="C18" i="5"/>
  <c r="C16" i="5"/>
  <c r="C17" i="5"/>
  <c r="C20" i="5"/>
  <c r="C21" i="5"/>
  <c r="C22" i="5"/>
  <c r="C23" i="5"/>
  <c r="C24" i="5"/>
  <c r="D10" i="5"/>
  <c r="F10" i="5"/>
  <c r="E10" i="5"/>
  <c r="B11" i="5"/>
  <c r="B13" i="5"/>
  <c r="B14" i="5"/>
  <c r="B15" i="5"/>
  <c r="B16" i="5"/>
  <c r="B18" i="5"/>
  <c r="B19" i="5"/>
  <c r="B20" i="5"/>
  <c r="B21" i="5"/>
  <c r="B22" i="5"/>
  <c r="B23" i="5"/>
  <c r="B24" i="5"/>
  <c r="H73" i="3"/>
  <c r="I73" i="3"/>
  <c r="F30" i="3"/>
  <c r="F31" i="3" s="1"/>
  <c r="F12" i="3"/>
  <c r="F18" i="3"/>
  <c r="F19" i="3" s="1"/>
  <c r="F22" i="3"/>
  <c r="F23" i="3" s="1"/>
  <c r="F26" i="3"/>
  <c r="F27" i="3" s="1"/>
  <c r="E79" i="3"/>
  <c r="E80" i="3" s="1"/>
  <c r="E84" i="3"/>
  <c r="E85" i="3" s="1"/>
  <c r="E38" i="3"/>
  <c r="E39" i="3" s="1"/>
  <c r="E43" i="3"/>
  <c r="E48" i="3"/>
  <c r="E49" i="3" s="1"/>
  <c r="E53" i="3"/>
  <c r="E54" i="3" s="1"/>
  <c r="E58" i="3"/>
  <c r="E59" i="3" s="1"/>
  <c r="E63" i="3"/>
  <c r="E64" i="3" s="1"/>
  <c r="E68" i="3"/>
  <c r="E69" i="3" s="1"/>
  <c r="E11" i="3"/>
  <c r="E12" i="3" s="1"/>
  <c r="E14" i="3"/>
  <c r="E15" i="3" s="1"/>
  <c r="E18" i="3"/>
  <c r="E19" i="3" s="1"/>
  <c r="E22" i="3"/>
  <c r="E23" i="3" s="1"/>
  <c r="E26" i="3"/>
  <c r="E27" i="3" s="1"/>
  <c r="E30" i="3"/>
  <c r="G10" i="3"/>
  <c r="H10" i="3"/>
  <c r="I10" i="3"/>
  <c r="G29" i="3"/>
  <c r="H29" i="3"/>
  <c r="I29" i="3"/>
  <c r="F29" i="3" l="1"/>
  <c r="E29" i="3"/>
  <c r="E31" i="3"/>
  <c r="E73" i="3"/>
  <c r="C19" i="5"/>
  <c r="C10" i="5" s="1"/>
  <c r="B10" i="5"/>
  <c r="F10" i="3"/>
  <c r="E37" i="3"/>
  <c r="E10" i="3"/>
  <c r="I32" i="1" l="1"/>
  <c r="I31" i="1"/>
  <c r="I18" i="1"/>
  <c r="I17" i="1"/>
  <c r="I15" i="1"/>
  <c r="I13" i="1" s="1"/>
  <c r="I14" i="1"/>
  <c r="G35" i="1"/>
  <c r="G32" i="1"/>
  <c r="G31" i="1"/>
  <c r="G18" i="1"/>
  <c r="G17" i="1"/>
  <c r="G15" i="1"/>
  <c r="G14" i="1"/>
  <c r="H16" i="1"/>
  <c r="J16" i="1"/>
  <c r="L16" i="1"/>
  <c r="F16" i="1"/>
  <c r="H13" i="1"/>
  <c r="J13" i="1"/>
  <c r="K13" i="1"/>
  <c r="L13" i="1"/>
  <c r="F13" i="1"/>
  <c r="H19" i="1" l="1"/>
  <c r="F19" i="1"/>
  <c r="L19" i="1"/>
  <c r="J19" i="1"/>
  <c r="I16" i="1"/>
  <c r="I19" i="1" s="1"/>
  <c r="G16" i="1"/>
  <c r="G13" i="1"/>
  <c r="K16" i="1"/>
  <c r="K19" i="1" s="1"/>
  <c r="G19" i="1" l="1"/>
</calcChain>
</file>

<file path=xl/sharedStrings.xml><?xml version="1.0" encoding="utf-8"?>
<sst xmlns="http://schemas.openxmlformats.org/spreadsheetml/2006/main" count="587" uniqueCount="223">
  <si>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</si>
  <si>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</si>
  <si>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</si>
  <si>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</si>
  <si>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</si>
  <si>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</si>
  <si>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</si>
  <si>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</si>
  <si>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</si>
  <si>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</si>
  <si>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</si>
  <si>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</si>
  <si>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</si>
  <si>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</si>
  <si>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Proračun za 2023.</t>
  </si>
  <si>
    <t>Projekcija proračuna
za 2024.</t>
  </si>
  <si>
    <t>Projekcija proračuna
za 2025.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</si>
  <si>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</si>
  <si>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</si>
  <si>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</si>
  <si>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</si>
  <si>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</si>
  <si>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</si>
  <si>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</si>
  <si>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</si>
  <si>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</si>
  <si>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</si>
  <si>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</si>
  <si>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</si>
  <si>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</si>
  <si>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</si>
  <si>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</si>
  <si>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</si>
  <si>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</si>
  <si>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</si>
  <si>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</si>
  <si>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04 Ekonomski poslovi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</si>
  <si>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</si>
  <si>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</si>
  <si>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</si>
  <si>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</si>
  <si>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</si>
  <si>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</si>
  <si>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</si>
  <si>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</si>
  <si>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</si>
  <si>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</si>
  <si>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</si>
  <si>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</si>
  <si>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</si>
  <si>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</si>
  <si>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EUR/KN*</t>
  </si>
  <si>
    <t>UKUPAN DONOS VIŠKA / MANJKA IZ PRETHODNE(IH) GODINE***</t>
  </si>
  <si>
    <t>Rashodi za nabavu proizvedene dugotrajne imovine</t>
  </si>
  <si>
    <t>C) PRENESENI VIŠAK ILI PRENESENI MANJAK I VIŠEGODIŠNJI PLAN URAVNOTEŽENJA</t>
  </si>
  <si>
    <t>Prihodi od imovine</t>
  </si>
  <si>
    <t>Naziv</t>
  </si>
  <si>
    <t>Prijedlog</t>
  </si>
  <si>
    <t>Izvršenje 2021. KN</t>
  </si>
  <si>
    <t xml:space="preserve">           Na temelju članka 40., stavka 2. Zakona o proračunu ("Narodne novine 144/21") i članka 31. Statuta Općine Ferdinandovac ("Službeni glasnik Koprivničko-križevačke županije" broj: 6/13, 1/18, 5/20. i 4/21) Općinsko vijeće Općine Ferdinandovac na ______. sjednici </t>
  </si>
  <si>
    <t>PRORAČUN OPĆINE FERDINANDOVAC ZA 2023. I PROJEKCIJA ZA 2024. I 2025. GODINU</t>
  </si>
  <si>
    <t xml:space="preserve">Pomoći iz inozemstva i od subjekata unutar općeg proračuna </t>
  </si>
  <si>
    <t>Prihodi od prodaje proizvedene dugotrajne imovine</t>
  </si>
  <si>
    <t xml:space="preserve">Prihodi od upravnih i administrativnih pristojbi, pristojbi po posebnim propisima i naknada </t>
  </si>
  <si>
    <t xml:space="preserve">Prihodi od prodaje proizvoda i robe te pruženih usluga, donacija te povrati po protestiranim jamstvima </t>
  </si>
  <si>
    <t>Subvencije</t>
  </si>
  <si>
    <t>Pomoći dane u inozemstvo i unutar općeg proračuna</t>
  </si>
  <si>
    <t xml:space="preserve">Naknade građanima i kućanstvima na temelju osiguranja i druge naknade </t>
  </si>
  <si>
    <t>Ostali rashodi</t>
  </si>
  <si>
    <t xml:space="preserve">Rashodi za dodatna ulaganja na nefinancijskoj imovini </t>
  </si>
  <si>
    <t>Plan 2022. KN</t>
  </si>
  <si>
    <t>Plan 2022. EUR</t>
  </si>
  <si>
    <t>Izvršenje 2021. EUR</t>
  </si>
  <si>
    <t>03 Javni red i sigurnost</t>
  </si>
  <si>
    <t>05 Zaštita okoliša</t>
  </si>
  <si>
    <t>06 Usluge unaprjeđenja stanovanja i zajednice</t>
  </si>
  <si>
    <t>02 Obrana</t>
  </si>
  <si>
    <t>07 Zdravstvo</t>
  </si>
  <si>
    <t>08 Rekreacija, kultura i religija</t>
  </si>
  <si>
    <t>09 Obrazovanje</t>
  </si>
  <si>
    <t>0911 Predškolsko obrazovanje</t>
  </si>
  <si>
    <t>0912 Osnovnoškolsko obrazovanje</t>
  </si>
  <si>
    <t>092 Srednjoškolsko obrazovanje</t>
  </si>
  <si>
    <t>094 Visoka naobrazba</t>
  </si>
  <si>
    <t>10 Socijalna zaštita</t>
  </si>
  <si>
    <t>RAZDJEL 001 PREDSTAVNIČKA I IZVRŠNA TIJELA</t>
  </si>
  <si>
    <t xml:space="preserve">GLAVA 00101:Predstavnička i izvršna tijela </t>
  </si>
  <si>
    <t>Program 01: Predstavnička i izvršna vlast</t>
  </si>
  <si>
    <t>Izvor financiranja: 01 - Opći prihodi i primici</t>
  </si>
  <si>
    <t xml:space="preserve">Izvor financiranja: 01 -  Opći prihodi i primici </t>
  </si>
  <si>
    <t>Izvor financiranja: 05 - Pomoći</t>
  </si>
  <si>
    <t>Program 02: Mjesna samouprava</t>
  </si>
  <si>
    <t>RAZDJEL 002 JEDINSTVENI UPRAVNI ODJEL</t>
  </si>
  <si>
    <t>GLAVA 00201: Jedinstveni upravni odjel</t>
  </si>
  <si>
    <t>Program 01: Opći, upravni i financ. računovod. poslovi</t>
  </si>
  <si>
    <t>Izvor financiranja: 04 - Prihod za posebne namjene</t>
  </si>
  <si>
    <t>Aktivnost A002010101: Redovni rad Jedinstvenog upravnog odjela</t>
  </si>
  <si>
    <t>Aktivnost: 002010102 - Financije</t>
  </si>
  <si>
    <t>Aktivnost A002010103: Izrada dokumentacije</t>
  </si>
  <si>
    <t>Aktivnost A002010104: Nabava opreme i namještaja</t>
  </si>
  <si>
    <t xml:space="preserve">Program 02: Zapošljavanje osoba na javnim radovima </t>
  </si>
  <si>
    <t xml:space="preserve">Izvor financiranja: 05 - Pomoći </t>
  </si>
  <si>
    <t xml:space="preserve">Aktivnost A002020101: Redovni rad osoba na javnim radovima </t>
  </si>
  <si>
    <t>GLAVA 00202: Poljoprivreda i poduzetništvo</t>
  </si>
  <si>
    <t>Program 01: Unaprjeđenje poljoprivrede</t>
  </si>
  <si>
    <t>i stočarstva</t>
  </si>
  <si>
    <t>Program 02: Unaprjeđenje razvoja turizma</t>
  </si>
  <si>
    <t xml:space="preserve">GLAVA 00203: Prostorno planiranje, uređenje </t>
  </si>
  <si>
    <t>i komunalne djelatnosti</t>
  </si>
  <si>
    <t>Program 01: Program održav. komunalne infrastrukture</t>
  </si>
  <si>
    <t>Program 02: Program građenja komunalne infrastrukture</t>
  </si>
  <si>
    <t>Kapitalni projekt: 002030204 - Uređenje groblja</t>
  </si>
  <si>
    <t xml:space="preserve">na mjesnom groblju </t>
  </si>
  <si>
    <t xml:space="preserve">Izvor financiranja: 01 - Opći prihodi i primici </t>
  </si>
  <si>
    <t xml:space="preserve">Program 03: Razvoj i upravljanje sustavom vodoopskrbe, </t>
  </si>
  <si>
    <t>odvodnje i zaštite voda</t>
  </si>
  <si>
    <t>Program 04: Zaštita i uređenje okoliša</t>
  </si>
  <si>
    <t>Program 05: Veterinarska zaštita okoliša</t>
  </si>
  <si>
    <t>Program 06: Izgradnja i održav. ostale kom. infrastruk.</t>
  </si>
  <si>
    <t>infrastrukture</t>
  </si>
  <si>
    <t>Program 07: Izgradnja i odr. turističke infrastrukture</t>
  </si>
  <si>
    <t>GLAVA 00204: Odgoj i obrazovanje</t>
  </si>
  <si>
    <t>Program 01: Predškolski odgoj</t>
  </si>
  <si>
    <t>Aktivnost A002040101: Redovni rad DV "Košutica"</t>
  </si>
  <si>
    <t>Korisnik: Dječji vrtić "Košutica"</t>
  </si>
  <si>
    <t>Program 02: Osnovnoškolsko obrazovanje</t>
  </si>
  <si>
    <t xml:space="preserve">Aktivnost A002040201: Unaprjeđenje nastave u </t>
  </si>
  <si>
    <t>Osnovnoj školi</t>
  </si>
  <si>
    <t>Program 03: Srednjoškolsko obrazovanje</t>
  </si>
  <si>
    <t>srednjih škola</t>
  </si>
  <si>
    <t>Program 04: Visoka naobrazba</t>
  </si>
  <si>
    <t>Aktivnost A002040203: Studentske stipendije</t>
  </si>
  <si>
    <t xml:space="preserve">GLAVA 00205: ORGANIZACIJA I PROVOĐENJE ZAŠTITE </t>
  </si>
  <si>
    <t>I SPAŠAVANJA</t>
  </si>
  <si>
    <t>Program 01: Protupožarna zaštita</t>
  </si>
  <si>
    <t>Program 02: Civilna zaštita</t>
  </si>
  <si>
    <t>GLAVA 00206: REKREACIJA, KULTURA, RELIGIJA</t>
  </si>
  <si>
    <t>Program 01: Program javnih potreba u sportu</t>
  </si>
  <si>
    <t>sportskih udruga</t>
  </si>
  <si>
    <t>Program 02: Program javnih potreba u kulturi</t>
  </si>
  <si>
    <t>tehničkoj kulturi</t>
  </si>
  <si>
    <t>Program 03: Prog.sufinanc. vjerskih udruga i zajednica</t>
  </si>
  <si>
    <t>Aktivnost A002060103: Sufinanciranje župe i župnog ureda</t>
  </si>
  <si>
    <t>Aktivnost A002060104: Sufinanciranje vjerskih udruga</t>
  </si>
  <si>
    <t>Program 01: Pomoć obiteljima i kućanstvima</t>
  </si>
  <si>
    <t>GLAVA 00207: ZDRAVSTVO I SOCIJALNA SKRB</t>
  </si>
  <si>
    <t>Aktivnost A002070101: Pomoć obiteljima</t>
  </si>
  <si>
    <t>Izvor financiranja; 01 - Opći prihodi i primici</t>
  </si>
  <si>
    <t xml:space="preserve">Izvor financiranja; 05 - Pomoći </t>
  </si>
  <si>
    <t>Aktivnost A002070102: Pokloni djeci za blagdane</t>
  </si>
  <si>
    <t>Kapitalni projekt 002070103 : Brižne žene Podravske</t>
  </si>
  <si>
    <t>Kapitalni projekt: 002070104 Zaželi faza II</t>
  </si>
  <si>
    <t xml:space="preserve">Izvor financiranja: 05- Pomoći </t>
  </si>
  <si>
    <t>Program 02: Humanitarna skrb kroz udruge građana</t>
  </si>
  <si>
    <t>Aktivnost A002070202: Sufinanciranje zdravstvenih usluga</t>
  </si>
  <si>
    <t>GLAVA 00208: POTICANJE RAZVOJA CIVIL. DRUŠTVA</t>
  </si>
  <si>
    <t>Program 01: Djelatnost udruga građana</t>
  </si>
  <si>
    <t>Aktivnost A002080101: Sufinanciranje projekata</t>
  </si>
  <si>
    <t xml:space="preserve">Rashodi za nabavu proizvedene dugotrajne imovine </t>
  </si>
  <si>
    <t xml:space="preserve">Aktivnost A001010102: Općinsko vijeće i radna tijela Općinskog vijeća </t>
  </si>
  <si>
    <t xml:space="preserve">Aktivnost A001010103: Troškovi lokalnih izbora </t>
  </si>
  <si>
    <t>Aktivnost A001020101: Djelokrug mjesne samouprave</t>
  </si>
  <si>
    <t xml:space="preserve">Financijski rashodi </t>
  </si>
  <si>
    <t xml:space="preserve">Aktivnost A002020101: Poticanje poljoprivredne proizvodnje </t>
  </si>
  <si>
    <t>Aktivnost A002020102: Subvencije u turizmu</t>
  </si>
  <si>
    <t>nerazvrstanih cesta</t>
  </si>
  <si>
    <t xml:space="preserve">Aktivnost A002030101: Održavanje javnih površina i </t>
  </si>
  <si>
    <t>Aktivnost A002030104: Održavanje groblja</t>
  </si>
  <si>
    <t xml:space="preserve">Aktivnost A002030103: Održavanje građ. javne odvodnje oborinskih voda </t>
  </si>
  <si>
    <t xml:space="preserve">Izvor financiranja: 04 - Prihod za posebne namjene </t>
  </si>
  <si>
    <t>gradnja nerazvrstanih cesta i mostova</t>
  </si>
  <si>
    <t xml:space="preserve">Aktivnost A002030102: Održ.i moderniz.mreže javne rasvjete </t>
  </si>
  <si>
    <t xml:space="preserve">Kapitalni projekt 002030201: Rekonstrukcija i </t>
  </si>
  <si>
    <t>sportskih i rekreacijskih prostora</t>
  </si>
  <si>
    <t xml:space="preserve">Kapitalni projekt 002030202: Rekonstrukcija </t>
  </si>
  <si>
    <t>Kapitalni projekt 002030301: Izgradnja sekundarnog</t>
  </si>
  <si>
    <t>vodovoda odvodnje</t>
  </si>
  <si>
    <t>Aktivnost A002030401: Zaštita i uređenje okoliša</t>
  </si>
  <si>
    <t>Kapitalni projekt 002030402: Sanacija odlagališta otpada</t>
  </si>
  <si>
    <t>Kapitalni projekt 002030404: Nabava opreme za zaštitu okoliša</t>
  </si>
  <si>
    <t>Aktivnost A002030501: Veterinarske usluge</t>
  </si>
  <si>
    <t>Aktivnost A002030602: Održavanje vage</t>
  </si>
  <si>
    <t>Kapitalni projekt 002030701: Izgradnja i održavanje turist. infrastrukture</t>
  </si>
  <si>
    <t>građevinskim objektima</t>
  </si>
  <si>
    <t>Kapitalni projekt: 001020602: Dodatna ulaganja na</t>
  </si>
  <si>
    <t>Rashodi za dodatna ulaganja na nefinancijskoj imovini</t>
  </si>
  <si>
    <t>Financijski rashodi</t>
  </si>
  <si>
    <t>Aktivnost A002050101: Sufinanciranje rada vatrogasnih zajednica i postrojbi</t>
  </si>
  <si>
    <t>Aktivnost A002050102: Sufinanciranje rada civilne zaštite i HGSS-a</t>
  </si>
  <si>
    <t xml:space="preserve">Aktivnost A002060101: Sufinanciranje programa </t>
  </si>
  <si>
    <t xml:space="preserve">Aktivnost A002060201: Sufinanc. udruga u kulturi i </t>
  </si>
  <si>
    <t>Aktivnost A002070201: Sufinanciranje udruga i društava</t>
  </si>
  <si>
    <t>UKUPNO RASHODI I IZDACI</t>
  </si>
  <si>
    <t xml:space="preserve">Rashodi za nabavu neproizvedene dugotrajne imovine </t>
  </si>
  <si>
    <t xml:space="preserve">Kapitalni projekt:002030203- Sufinanciranje ŽUC </t>
  </si>
  <si>
    <t xml:space="preserve">Aktivnost A002030206: Sufinanciranje nabave bibliobusa </t>
  </si>
  <si>
    <t>Kapitalni projekt:002030205- Sufinanciranje rekonstrukcije mosta</t>
  </si>
  <si>
    <t xml:space="preserve">Kapitalni projekt 002030206: Uređenje parka na Trgu slobode </t>
  </si>
  <si>
    <t>Kapitalni projekt 002030208: Proširenje parkinga i uređenje okoliša oko škole</t>
  </si>
  <si>
    <t xml:space="preserve">Kapitalni projekt 002030209: Izgradnja dječjeg igrališta </t>
  </si>
  <si>
    <t>Kapitalni projekt 002030210: Izgradnja fitnes parka</t>
  </si>
  <si>
    <t>Kapitalni projekt 002030204: Izgradnja pješačke staze na mjesnom groblju</t>
  </si>
  <si>
    <t>Kapitalni projekt 002070105 : Brižne žene Podravske III</t>
  </si>
  <si>
    <t>Kapitalni projekt 002070106: Pomoć je moć 2</t>
  </si>
  <si>
    <t>01</t>
  </si>
  <si>
    <t>05</t>
  </si>
  <si>
    <t>Pomoći</t>
  </si>
  <si>
    <t>04</t>
  </si>
  <si>
    <t>Prihod za posebne namjene</t>
  </si>
  <si>
    <t xml:space="preserve">Aktivnost A001010101: Općinski načelnik </t>
  </si>
  <si>
    <t>Aktivnost A002030105: Katastarska izmjera na području Općine Ferdinandovac</t>
  </si>
  <si>
    <t xml:space="preserve">Aktivnost A002030601: Dogradnja i održavanje objekata kom. </t>
  </si>
  <si>
    <t xml:space="preserve">Kapitalni projekt 002030407: Izgradnja fotonaponske elektrane i dizalice topline dječji vrtić Košutica Ferdinandovac </t>
  </si>
  <si>
    <t>Kapitalni projekt 002030407: Izgradnja fotonaponske elektrane i dizalica topline zgrada Općine i društveni dom</t>
  </si>
  <si>
    <t>Aktivnost A002030207: Sufinanciranje nabave vozila C.križ</t>
  </si>
  <si>
    <t>Kapitalni projekt 002030212: Uređenje križanja ulica Trg slobode i P. Preradovića</t>
  </si>
  <si>
    <t xml:space="preserve">Kapitalni projekt 002030205: Izgradnja pješačke staze na Trgu slobode </t>
  </si>
  <si>
    <t xml:space="preserve">Kapitalni projekt 002030213: Izgradnja spremišta komunalne opreme </t>
  </si>
  <si>
    <t xml:space="preserve">Aktivnost A002040202: Novčana pomoć  učenicima </t>
  </si>
  <si>
    <t>KLASA: 400-05/22-01/1</t>
  </si>
  <si>
    <t>URBROJ: 2137-15-22-____</t>
  </si>
  <si>
    <t>Ferdinandovac, ______.2022.</t>
  </si>
  <si>
    <t xml:space="preserve">održanoj ____. 2022. godine donijelo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</si>
</sst>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1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/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0" fillId="0" borderId="3" xfId="0" applyNumberFormat="1" applyBorder="1"/>
    <xf numFmtId="0" fontId="0" fillId="0" borderId="3" xfId="0" applyBorder="1"/>
    <xf numFmtId="0" fontId="18" fillId="5" borderId="3" xfId="0" applyFont="1" applyFill="1" applyBorder="1"/>
    <xf numFmtId="0" fontId="9" fillId="6" borderId="1" xfId="0" applyFont="1" applyFill="1" applyBorder="1" applyAlignment="1">
      <alignment horizontal="left"/>
    </xf>
    <xf numFmtId="0" fontId="9" fillId="6" borderId="3" xfId="0" applyFont="1" applyFill="1" applyBorder="1"/>
    <xf numFmtId="4" fontId="9" fillId="6" borderId="3" xfId="0" applyNumberFormat="1" applyFont="1" applyFill="1" applyBorder="1"/>
    <xf numFmtId="4" fontId="0" fillId="6" borderId="3" xfId="0" applyNumberFormat="1" applyFill="1" applyBorder="1"/>
    <xf numFmtId="0" fontId="9" fillId="6" borderId="3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4" fontId="3" fillId="0" borderId="4" xfId="0" applyNumberFormat="1" applyFont="1" applyBorder="1" applyAlignment="1">
      <alignment horizontal="right"/>
    </xf>
    <xf numFmtId="0" fontId="9" fillId="6" borderId="2" xfId="0" applyFont="1" applyFill="1" applyBorder="1"/>
    <xf numFmtId="0" fontId="9" fillId="6" borderId="1" xfId="0" applyFont="1" applyFill="1" applyBorder="1"/>
    <xf numFmtId="4" fontId="9" fillId="6" borderId="2" xfId="0" applyNumberFormat="1" applyFont="1" applyFill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9" fillId="6" borderId="3" xfId="0" applyNumberFormat="1" applyFont="1" applyFill="1" applyBorder="1" applyAlignment="1">
      <alignment horizontal="right"/>
    </xf>
    <xf numFmtId="4" fontId="9" fillId="6" borderId="3" xfId="0" applyNumberFormat="1" applyFont="1" applyFill="1" applyBorder="1" applyAlignment="1">
      <alignment horizontal="right" shrinkToFit="1"/>
    </xf>
    <xf numFmtId="4" fontId="9" fillId="6" borderId="7" xfId="0" applyNumberFormat="1" applyFont="1" applyFill="1" applyBorder="1" applyAlignment="1">
      <alignment horizontal="right"/>
    </xf>
    <xf numFmtId="4" fontId="9" fillId="6" borderId="1" xfId="0" applyNumberFormat="1" applyFont="1" applyFill="1" applyBorder="1"/>
    <xf numFmtId="4" fontId="9" fillId="6" borderId="7" xfId="0" applyNumberFormat="1" applyFont="1" applyFill="1" applyBorder="1"/>
    <xf numFmtId="4" fontId="7" fillId="3" borderId="4" xfId="0" applyNumberFormat="1" applyFont="1" applyFill="1" applyBorder="1" applyAlignment="1">
      <alignment horizontal="right" shrinkToFit="1"/>
    </xf>
    <xf numFmtId="4" fontId="7" fillId="3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 wrapText="1"/>
    </xf>
    <xf numFmtId="4" fontId="0" fillId="6" borderId="3" xfId="0" applyNumberFormat="1" applyFill="1" applyBorder="1" applyAlignment="1">
      <alignment horizontal="right"/>
    </xf>
    <xf numFmtId="4" fontId="0" fillId="6" borderId="7" xfId="0" applyNumberFormat="1" applyFill="1" applyBorder="1" applyAlignment="1">
      <alignment horizontal="right"/>
    </xf>
    <xf numFmtId="0" fontId="18" fillId="7" borderId="3" xfId="0" applyFont="1" applyFill="1" applyBorder="1"/>
    <xf numFmtId="0" fontId="0" fillId="7" borderId="3" xfId="0" applyFill="1" applyBorder="1"/>
    <xf numFmtId="4" fontId="19" fillId="7" borderId="3" xfId="0" applyNumberFormat="1" applyFont="1" applyFill="1" applyBorder="1"/>
    <xf numFmtId="4" fontId="0" fillId="7" borderId="3" xfId="0" applyNumberFormat="1" applyFill="1" applyBorder="1"/>
    <xf numFmtId="4" fontId="0" fillId="7" borderId="3" xfId="0" applyNumberFormat="1" applyFill="1" applyBorder="1" applyAlignment="1">
      <alignment horizontal="right"/>
    </xf>
    <xf numFmtId="4" fontId="18" fillId="7" borderId="3" xfId="0" applyNumberFormat="1" applyFont="1" applyFill="1" applyBorder="1" applyAlignment="1">
      <alignment horizontal="right" shrinkToFit="1"/>
    </xf>
    <xf numFmtId="0" fontId="11" fillId="7" borderId="3" xfId="0" applyFont="1" applyFill="1" applyBorder="1" applyAlignment="1">
      <alignment horizontal="left"/>
    </xf>
    <xf numFmtId="4" fontId="18" fillId="7" borderId="3" xfId="0" applyNumberFormat="1" applyFont="1" applyFill="1" applyBorder="1" applyAlignment="1">
      <alignment horizontal="right"/>
    </xf>
    <xf numFmtId="0" fontId="0" fillId="7" borderId="1" xfId="0" applyFill="1" applyBorder="1"/>
    <xf numFmtId="4" fontId="19" fillId="7" borderId="3" xfId="0" applyNumberFormat="1" applyFont="1" applyFill="1" applyBorder="1" applyAlignment="1">
      <alignment horizontal="right"/>
    </xf>
    <xf numFmtId="0" fontId="18" fillId="7" borderId="6" xfId="0" applyFont="1" applyFill="1" applyBorder="1" applyAlignment="1">
      <alignment horizontal="left"/>
    </xf>
    <xf numFmtId="0" fontId="18" fillId="7" borderId="5" xfId="0" applyFont="1" applyFill="1" applyBorder="1" applyAlignment="1">
      <alignment horizontal="left"/>
    </xf>
    <xf numFmtId="4" fontId="1" fillId="7" borderId="3" xfId="0" applyNumberFormat="1" applyFont="1" applyFill="1" applyBorder="1"/>
    <xf numFmtId="4" fontId="11" fillId="7" borderId="3" xfId="0" applyNumberFormat="1" applyFont="1" applyFill="1" applyBorder="1" applyAlignment="1">
      <alignment horizontal="right"/>
    </xf>
    <xf numFmtId="0" fontId="7" fillId="7" borderId="3" xfId="0" applyFont="1" applyFill="1" applyBorder="1" applyAlignment="1">
      <alignment horizontal="left" shrinkToFit="1"/>
    </xf>
    <xf numFmtId="0" fontId="11" fillId="7" borderId="1" xfId="0" applyFont="1" applyFill="1" applyBorder="1" applyAlignment="1">
      <alignment horizontal="left"/>
    </xf>
    <xf numFmtId="4" fontId="18" fillId="7" borderId="1" xfId="0" applyNumberFormat="1" applyFont="1" applyFill="1" applyBorder="1"/>
    <xf numFmtId="4" fontId="18" fillId="7" borderId="3" xfId="0" applyNumberFormat="1" applyFont="1" applyFill="1" applyBorder="1"/>
    <xf numFmtId="0" fontId="18" fillId="7" borderId="5" xfId="0" applyFont="1" applyFill="1" applyBorder="1"/>
    <xf numFmtId="0" fontId="11" fillId="7" borderId="3" xfId="0" applyFont="1" applyFill="1" applyBorder="1"/>
    <xf numFmtId="4" fontId="3" fillId="7" borderId="3" xfId="0" applyNumberFormat="1" applyFont="1" applyFill="1" applyBorder="1" applyAlignment="1">
      <alignment horizontal="right"/>
    </xf>
    <xf numFmtId="4" fontId="11" fillId="7" borderId="3" xfId="0" applyNumberFormat="1" applyFont="1" applyFill="1" applyBorder="1" applyAlignment="1">
      <alignment horizontal="right" shrinkToFit="1"/>
    </xf>
    <xf numFmtId="4" fontId="20" fillId="4" borderId="4" xfId="0" applyNumberFormat="1" applyFont="1" applyFill="1" applyBorder="1" applyAlignment="1">
      <alignment horizontal="right" vertical="center" wrapText="1"/>
    </xf>
    <xf numFmtId="0" fontId="18" fillId="8" borderId="3" xfId="0" applyFont="1" applyFill="1" applyBorder="1" applyAlignment="1">
      <alignment horizontal="left"/>
    </xf>
    <xf numFmtId="4" fontId="18" fillId="8" borderId="3" xfId="0" applyNumberFormat="1" applyFont="1" applyFill="1" applyBorder="1" applyAlignment="1">
      <alignment horizontal="right"/>
    </xf>
    <xf numFmtId="0" fontId="18" fillId="8" borderId="3" xfId="0" applyFont="1" applyFill="1" applyBorder="1"/>
    <xf numFmtId="4" fontId="1" fillId="8" borderId="3" xfId="0" applyNumberFormat="1" applyFont="1" applyFill="1" applyBorder="1" applyAlignment="1">
      <alignment horizontal="right"/>
    </xf>
    <xf numFmtId="4" fontId="18" fillId="8" borderId="3" xfId="0" applyNumberFormat="1" applyFont="1" applyFill="1" applyBorder="1" applyAlignment="1">
      <alignment horizontal="right" shrinkToFit="1"/>
    </xf>
    <xf numFmtId="4" fontId="18" fillId="8" borderId="3" xfId="0" applyNumberFormat="1" applyFont="1" applyFill="1" applyBorder="1"/>
    <xf numFmtId="0" fontId="18" fillId="8" borderId="6" xfId="0" applyFont="1" applyFill="1" applyBorder="1"/>
    <xf numFmtId="0" fontId="18" fillId="8" borderId="5" xfId="0" applyFont="1" applyFill="1" applyBorder="1"/>
    <xf numFmtId="4" fontId="18" fillId="8" borderId="1" xfId="0" applyNumberFormat="1" applyFont="1" applyFill="1" applyBorder="1"/>
    <xf numFmtId="0" fontId="11" fillId="8" borderId="3" xfId="0" applyFont="1" applyFill="1" applyBorder="1" applyAlignment="1">
      <alignment horizontal="left"/>
    </xf>
    <xf numFmtId="4" fontId="11" fillId="8" borderId="3" xfId="0" applyNumberFormat="1" applyFont="1" applyFill="1" applyBorder="1" applyAlignment="1">
      <alignment horizontal="right"/>
    </xf>
    <xf numFmtId="4" fontId="18" fillId="8" borderId="4" xfId="0" applyNumberFormat="1" applyFont="1" applyFill="1" applyBorder="1" applyAlignment="1">
      <alignment horizontal="right"/>
    </xf>
    <xf numFmtId="4" fontId="0" fillId="7" borderId="7" xfId="0" applyNumberFormat="1" applyFill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19" fillId="7" borderId="7" xfId="0" applyNumberFormat="1" applyFont="1" applyFill="1" applyBorder="1" applyAlignment="1">
      <alignment horizontal="right"/>
    </xf>
    <xf numFmtId="4" fontId="0" fillId="9" borderId="3" xfId="0" applyNumberFormat="1" applyFill="1" applyBorder="1" applyAlignment="1">
      <alignment horizontal="right"/>
    </xf>
    <xf numFmtId="0" fontId="7" fillId="6" borderId="3" xfId="0" applyFont="1" applyFill="1" applyBorder="1" applyAlignment="1">
      <alignment horizontal="left" shrinkToFit="1"/>
    </xf>
    <xf numFmtId="4" fontId="9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18" fillId="10" borderId="3" xfId="0" applyFont="1" applyFill="1" applyBorder="1"/>
    <xf numFmtId="0" fontId="0" fillId="10" borderId="3" xfId="0" applyFill="1" applyBorder="1"/>
    <xf numFmtId="4" fontId="0" fillId="10" borderId="3" xfId="0" applyNumberFormat="1" applyFill="1" applyBorder="1" applyAlignment="1">
      <alignment horizontal="right"/>
    </xf>
    <xf numFmtId="4" fontId="18" fillId="11" borderId="3" xfId="0" applyNumberFormat="1" applyFont="1" applyFill="1" applyBorder="1" applyAlignment="1">
      <alignment horizontal="right" shrinkToFit="1"/>
    </xf>
    <xf numFmtId="0" fontId="18" fillId="11" borderId="3" xfId="0" applyFont="1" applyFill="1" applyBorder="1"/>
    <xf numFmtId="4" fontId="18" fillId="11" borderId="3" xfId="0" applyNumberFormat="1" applyFont="1" applyFill="1" applyBorder="1"/>
    <xf numFmtId="0" fontId="11" fillId="11" borderId="7" xfId="0" applyFont="1" applyFill="1" applyBorder="1"/>
    <xf numFmtId="0" fontId="18" fillId="11" borderId="7" xfId="0" applyFont="1" applyFill="1" applyBorder="1"/>
    <xf numFmtId="0" fontId="9" fillId="0" borderId="3" xfId="0" quotePrefix="1" applyFont="1" applyBorder="1" applyAlignment="1">
      <alignment horizontal="left" vertical="center"/>
    </xf>
    <xf numFmtId="49" fontId="10" fillId="0" borderId="3" xfId="0" quotePrefix="1" applyNumberFormat="1" applyFont="1" applyBorder="1" applyAlignment="1">
      <alignment horizontal="left" vertical="center"/>
    </xf>
    <xf numFmtId="0" fontId="10" fillId="0" borderId="3" xfId="0" quotePrefix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49" fontId="10" fillId="0" borderId="0" xfId="0" quotePrefix="1" applyNumberFormat="1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49" fontId="11" fillId="2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10" fillId="2" borderId="3" xfId="0" quotePrefix="1" applyNumberFormat="1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left" vertical="center"/>
    </xf>
    <xf numFmtId="4" fontId="6" fillId="0" borderId="4" xfId="0" applyNumberFormat="1" applyFont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14" fillId="6" borderId="3" xfId="0" applyNumberFormat="1" applyFont="1" applyFill="1" applyBorder="1" applyAlignment="1">
      <alignment horizontal="right"/>
    </xf>
    <xf numFmtId="0" fontId="14" fillId="0" borderId="0" xfId="0" applyFont="1"/>
    <xf numFmtId="4" fontId="11" fillId="6" borderId="3" xfId="0" applyNumberFormat="1" applyFont="1" applyFill="1" applyBorder="1" applyAlignment="1">
      <alignment horizontal="right"/>
    </xf>
    <xf numFmtId="0" fontId="22" fillId="0" borderId="0" xfId="0" applyFont="1"/>
    <xf numFmtId="4" fontId="23" fillId="7" borderId="3" xfId="0" applyNumberFormat="1" applyFont="1" applyFill="1" applyBorder="1"/>
    <xf numFmtId="0" fontId="24" fillId="7" borderId="3" xfId="0" applyFont="1" applyFill="1" applyBorder="1"/>
    <xf numFmtId="0" fontId="24" fillId="0" borderId="0" xfId="0" applyFont="1"/>
    <xf numFmtId="4" fontId="14" fillId="7" borderId="3" xfId="0" applyNumberFormat="1" applyFont="1" applyFill="1" applyBorder="1" applyAlignment="1">
      <alignment horizontal="right"/>
    </xf>
    <xf numFmtId="4" fontId="23" fillId="7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 wrapText="1"/>
    </xf>
    <xf numFmtId="4" fontId="1" fillId="7" borderId="3" xfId="0" applyNumberFormat="1" applyFont="1" applyFill="1" applyBorder="1" applyAlignment="1">
      <alignment horizontal="right"/>
    </xf>
    <xf numFmtId="4" fontId="18" fillId="7" borderId="7" xfId="0" applyNumberFormat="1" applyFont="1" applyFill="1" applyBorder="1" applyAlignment="1">
      <alignment horizontal="right" shrinkToFit="1"/>
    </xf>
    <xf numFmtId="0" fontId="25" fillId="0" borderId="0" xfId="0" applyFont="1"/>
    <xf numFmtId="4" fontId="6" fillId="0" borderId="3" xfId="0" applyNumberFormat="1" applyFont="1" applyBorder="1" applyAlignment="1">
      <alignment horizontal="right" wrapText="1"/>
    </xf>
    <xf numFmtId="4" fontId="18" fillId="0" borderId="3" xfId="0" applyNumberFormat="1" applyFont="1" applyBorder="1" applyAlignment="1">
      <alignment horizontal="right" shrinkToFi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1" fillId="7" borderId="7" xfId="0" applyNumberFormat="1" applyFont="1" applyFill="1" applyBorder="1" applyAlignment="1">
      <alignment horizontal="right"/>
    </xf>
    <xf numFmtId="4" fontId="18" fillId="0" borderId="7" xfId="0" applyNumberFormat="1" applyFont="1" applyBorder="1" applyAlignment="1">
      <alignment horizontal="right" shrinkToFit="1"/>
    </xf>
    <xf numFmtId="4" fontId="9" fillId="0" borderId="7" xfId="0" applyNumberFormat="1" applyFont="1" applyBorder="1" applyAlignment="1">
      <alignment horizontal="right" shrinkToFit="1"/>
    </xf>
    <xf numFmtId="4" fontId="18" fillId="6" borderId="7" xfId="0" applyNumberFormat="1" applyFont="1" applyFill="1" applyBorder="1" applyAlignment="1">
      <alignment horizontal="right" shrinkToFit="1"/>
    </xf>
    <xf numFmtId="0" fontId="22" fillId="0" borderId="3" xfId="0" applyFont="1" applyBorder="1" applyAlignment="1">
      <alignment wrapText="1"/>
    </xf>
    <xf numFmtId="4" fontId="6" fillId="7" borderId="3" xfId="0" applyNumberFormat="1" applyFont="1" applyFill="1" applyBorder="1" applyAlignment="1">
      <alignment horizontal="right" wrapText="1"/>
    </xf>
    <xf numFmtId="4" fontId="9" fillId="0" borderId="3" xfId="0" applyNumberFormat="1" applyFont="1" applyBorder="1" applyAlignment="1">
      <alignment horizontal="right" shrinkToFit="1"/>
    </xf>
    <xf numFmtId="4" fontId="19" fillId="6" borderId="3" xfId="0" applyNumberFormat="1" applyFont="1" applyFill="1" applyBorder="1" applyAlignment="1">
      <alignment horizontal="right"/>
    </xf>
    <xf numFmtId="4" fontId="1" fillId="6" borderId="7" xfId="0" applyNumberFormat="1" applyFont="1" applyFill="1" applyBorder="1" applyAlignment="1">
      <alignment horizontal="right"/>
    </xf>
    <xf numFmtId="4" fontId="18" fillId="6" borderId="3" xfId="0" applyNumberFormat="1" applyFont="1" applyFill="1" applyBorder="1" applyAlignment="1">
      <alignment horizontal="right" shrinkToFit="1"/>
    </xf>
    <xf numFmtId="4" fontId="21" fillId="6" borderId="7" xfId="0" applyNumberFormat="1" applyFont="1" applyFill="1" applyBorder="1" applyAlignment="1">
      <alignment horizontal="right" shrinkToFit="1"/>
    </xf>
    <xf numFmtId="4" fontId="22" fillId="0" borderId="0" xfId="0" applyNumberFormat="1" applyFont="1"/>
    <xf numFmtId="49" fontId="22" fillId="0" borderId="0" xfId="0" applyNumberFormat="1" applyFont="1"/>
    <xf numFmtId="0" fontId="22" fillId="0" borderId="3" xfId="0" applyFont="1" applyBorder="1"/>
    <xf numFmtId="4" fontId="22" fillId="0" borderId="3" xfId="0" applyNumberFormat="1" applyFont="1" applyBorder="1"/>
    <xf numFmtId="0" fontId="27" fillId="0" borderId="0" xfId="0" applyFont="1"/>
    <xf numFmtId="4" fontId="24" fillId="0" borderId="3" xfId="0" applyNumberFormat="1" applyFont="1" applyBorder="1"/>
    <xf numFmtId="4" fontId="24" fillId="0" borderId="0" xfId="0" applyNumberFormat="1" applyFont="1"/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left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8" fillId="7" borderId="8" xfId="0" applyFont="1" applyFill="1" applyBorder="1" applyAlignment="1">
      <alignment horizontal="left" wrapText="1" shrinkToFit="1"/>
    </xf>
    <xf numFmtId="0" fontId="18" fillId="7" borderId="9" xfId="0" applyFont="1" applyFill="1" applyBorder="1" applyAlignment="1">
      <alignment horizontal="left" wrapText="1" shrinkToFit="1"/>
    </xf>
    <xf numFmtId="0" fontId="18" fillId="7" borderId="10" xfId="0" applyFont="1" applyFill="1" applyBorder="1" applyAlignment="1">
      <alignment horizontal="left" wrapText="1" shrinkToFi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8" fillId="7" borderId="8" xfId="0" applyFont="1" applyFill="1" applyBorder="1" applyAlignment="1">
      <alignment horizontal="left" shrinkToFit="1"/>
    </xf>
    <xf numFmtId="0" fontId="18" fillId="7" borderId="9" xfId="0" applyFont="1" applyFill="1" applyBorder="1" applyAlignment="1">
      <alignment horizontal="left" shrinkToFit="1"/>
    </xf>
    <xf numFmtId="0" fontId="18" fillId="7" borderId="10" xfId="0" applyFont="1" applyFill="1" applyBorder="1" applyAlignment="1">
      <alignment horizontal="left" shrinkToFit="1"/>
    </xf>
    <xf numFmtId="0" fontId="9" fillId="6" borderId="1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18" fillId="7" borderId="6" xfId="0" applyFont="1" applyFill="1" applyBorder="1" applyAlignment="1">
      <alignment horizontal="left"/>
    </xf>
    <xf numFmtId="0" fontId="18" fillId="7" borderId="5" xfId="0" applyFont="1" applyFill="1" applyBorder="1" applyAlignment="1">
      <alignment horizontal="left"/>
    </xf>
    <xf numFmtId="0" fontId="18" fillId="7" borderId="1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left" wrapText="1"/>
    </xf>
    <xf numFmtId="0" fontId="18" fillId="7" borderId="2" xfId="0" applyFont="1" applyFill="1" applyBorder="1" applyAlignment="1">
      <alignment horizontal="left" wrapText="1"/>
    </xf>
    <xf numFmtId="0" fontId="18" fillId="7" borderId="4" xfId="0" applyFont="1" applyFill="1" applyBorder="1" applyAlignment="1">
      <alignment horizontal="left" wrapText="1"/>
    </xf>
    <xf numFmtId="4" fontId="19" fillId="7" borderId="3" xfId="0" applyNumberFormat="1" applyFont="1" applyFill="1" applyBorder="1" applyAlignment="1">
      <alignment horizontal="right"/>
    </xf>
    <xf numFmtId="0" fontId="19" fillId="7" borderId="3" xfId="0" applyFont="1" applyFill="1" applyBorder="1" applyAlignment="1">
      <alignment horizontal="right"/>
    </xf>
    <xf numFmtId="0" fontId="18" fillId="7" borderId="1" xfId="0" applyFont="1" applyFill="1" applyBorder="1" applyAlignment="1">
      <alignment horizontal="left" shrinkToFit="1"/>
    </xf>
    <xf numFmtId="0" fontId="18" fillId="7" borderId="2" xfId="0" applyFont="1" applyFill="1" applyBorder="1" applyAlignment="1">
      <alignment horizontal="left" shrinkToFit="1"/>
    </xf>
    <xf numFmtId="0" fontId="18" fillId="7" borderId="4" xfId="0" applyFont="1" applyFill="1" applyBorder="1" applyAlignment="1">
      <alignment horizontal="left" shrinkToFit="1"/>
    </xf>
    <xf numFmtId="0" fontId="18" fillId="8" borderId="1" xfId="0" applyFont="1" applyFill="1" applyBorder="1" applyAlignment="1">
      <alignment horizontal="left" shrinkToFit="1"/>
    </xf>
    <xf numFmtId="0" fontId="18" fillId="8" borderId="2" xfId="0" applyFont="1" applyFill="1" applyBorder="1" applyAlignment="1">
      <alignment horizontal="left" shrinkToFit="1"/>
    </xf>
    <xf numFmtId="0" fontId="18" fillId="8" borderId="4" xfId="0" applyFont="1" applyFill="1" applyBorder="1" applyAlignment="1">
      <alignment horizontal="left" shrinkToFit="1"/>
    </xf>
    <xf numFmtId="4" fontId="1" fillId="7" borderId="3" xfId="0" applyNumberFormat="1" applyFont="1" applyFill="1" applyBorder="1" applyAlignment="1">
      <alignment horizontal="right"/>
    </xf>
    <xf numFmtId="0" fontId="1" fillId="7" borderId="3" xfId="0" applyFont="1" applyFill="1" applyBorder="1" applyAlignment="1">
      <alignment horizontal="right"/>
    </xf>
    <xf numFmtId="4" fontId="18" fillId="11" borderId="3" xfId="0" applyNumberFormat="1" applyFont="1" applyFill="1" applyBorder="1" applyAlignment="1">
      <alignment horizontal="right"/>
    </xf>
    <xf numFmtId="0" fontId="18" fillId="11" borderId="3" xfId="0" applyFont="1" applyFill="1" applyBorder="1" applyAlignment="1">
      <alignment horizontal="right"/>
    </xf>
    <xf numFmtId="4" fontId="18" fillId="11" borderId="7" xfId="0" applyNumberFormat="1" applyFont="1" applyFill="1" applyBorder="1" applyAlignment="1">
      <alignment horizontal="right"/>
    </xf>
    <xf numFmtId="0" fontId="18" fillId="11" borderId="12" xfId="0" applyFont="1" applyFill="1" applyBorder="1" applyAlignment="1">
      <alignment horizontal="right"/>
    </xf>
    <xf numFmtId="0" fontId="20" fillId="4" borderId="1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horizontal="left" shrinkToFit="1"/>
    </xf>
    <xf numFmtId="0" fontId="18" fillId="11" borderId="2" xfId="0" applyFont="1" applyFill="1" applyBorder="1" applyAlignment="1">
      <alignment horizontal="left" shrinkToFit="1"/>
    </xf>
    <xf numFmtId="0" fontId="18" fillId="11" borderId="4" xfId="0" applyFont="1" applyFill="1" applyBorder="1" applyAlignment="1">
      <alignment horizontal="left" shrinkToFit="1"/>
    </xf>
    <xf numFmtId="0" fontId="18" fillId="7" borderId="8" xfId="0" applyFont="1" applyFill="1" applyBorder="1" applyAlignment="1">
      <alignment horizontal="left"/>
    </xf>
    <xf numFmtId="0" fontId="18" fillId="7" borderId="9" xfId="0" applyFont="1" applyFill="1" applyBorder="1" applyAlignment="1">
      <alignment horizontal="left"/>
    </xf>
    <xf numFmtId="0" fontId="18" fillId="8" borderId="3" xfId="0" applyFont="1" applyFill="1" applyBorder="1" applyAlignment="1">
      <alignment horizontal="left"/>
    </xf>
    <xf numFmtId="0" fontId="11" fillId="11" borderId="6" xfId="0" applyFont="1" applyFill="1" applyBorder="1" applyAlignment="1">
      <alignment horizontal="left"/>
    </xf>
    <xf numFmtId="0" fontId="11" fillId="11" borderId="5" xfId="0" applyFont="1" applyFill="1" applyBorder="1" applyAlignment="1">
      <alignment horizontal="left"/>
    </xf>
    <xf numFmtId="0" fontId="11" fillId="11" borderId="1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left" wrapText="1" shrinkToFit="1"/>
    </xf>
    <xf numFmtId="0" fontId="18" fillId="7" borderId="2" xfId="0" applyFont="1" applyFill="1" applyBorder="1" applyAlignment="1">
      <alignment horizontal="left" wrapText="1" shrinkToFit="1"/>
    </xf>
    <xf numFmtId="0" fontId="18" fillId="7" borderId="4" xfId="0" applyFont="1" applyFill="1" applyBorder="1" applyAlignment="1">
      <alignment horizontal="left" wrapText="1" shrinkToFit="1"/>
    </xf>
    <xf numFmtId="0" fontId="18" fillId="8" borderId="1" xfId="0" applyFont="1" applyFill="1" applyBorder="1" applyAlignment="1">
      <alignment horizontal="left"/>
    </xf>
    <xf numFmtId="0" fontId="18" fillId="8" borderId="2" xfId="0" applyFont="1" applyFill="1" applyBorder="1" applyAlignment="1">
      <alignment horizontal="left"/>
    </xf>
    <xf numFmtId="0" fontId="18" fillId="8" borderId="4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left" shrinkToFit="1"/>
    </xf>
    <xf numFmtId="0" fontId="7" fillId="7" borderId="2" xfId="0" applyFont="1" applyFill="1" applyBorder="1" applyAlignment="1">
      <alignment horizontal="left" shrinkToFit="1"/>
    </xf>
    <xf numFmtId="0" fontId="7" fillId="7" borderId="4" xfId="0" applyFont="1" applyFill="1" applyBorder="1" applyAlignment="1">
      <alignment horizontal="left" shrinkToFi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18" fillId="7" borderId="7" xfId="0" applyNumberFormat="1" applyFont="1" applyFill="1" applyBorder="1" applyAlignment="1">
      <alignment horizontal="right" shrinkToFit="1"/>
    </xf>
    <xf numFmtId="4" fontId="18" fillId="7" borderId="12" xfId="0" applyNumberFormat="1" applyFont="1" applyFill="1" applyBorder="1" applyAlignment="1">
      <alignment horizontal="right" shrinkToFi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shrinkToFit="1"/>
    </xf>
    <xf numFmtId="0" fontId="9" fillId="6" borderId="2" xfId="0" applyFont="1" applyFill="1" applyBorder="1" applyAlignment="1">
      <alignment horizontal="left" shrinkToFit="1"/>
    </xf>
    <xf numFmtId="0" fontId="11" fillId="7" borderId="1" xfId="0" applyFont="1" applyFill="1" applyBorder="1" applyAlignment="1">
      <alignment horizontal="left" shrinkToFit="1"/>
    </xf>
    <xf numFmtId="0" fontId="11" fillId="7" borderId="2" xfId="0" applyFont="1" applyFill="1" applyBorder="1" applyAlignment="1">
      <alignment horizontal="left" shrinkToFit="1"/>
    </xf>
    <xf numFmtId="0" fontId="11" fillId="7" borderId="4" xfId="0" applyFont="1" applyFill="1" applyBorder="1" applyAlignment="1">
      <alignment horizontal="left" shrinkToFit="1"/>
    </xf>
    <xf numFmtId="0" fontId="7" fillId="3" borderId="3" xfId="0" applyFont="1" applyFill="1" applyBorder="1" applyAlignment="1">
      <alignment horizontal="left" shrinkToFit="1"/>
    </xf>
    <xf numFmtId="0" fontId="18" fillId="11" borderId="1" xfId="0" applyFont="1" applyFill="1" applyBorder="1" applyAlignment="1">
      <alignment horizontal="left"/>
    </xf>
    <xf numFmtId="0" fontId="18" fillId="11" borderId="2" xfId="0" applyFont="1" applyFill="1" applyBorder="1" applyAlignment="1">
      <alignment horizontal="left"/>
    </xf>
    <xf numFmtId="0" fontId="18" fillId="11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left"/>
    </xf>
    <xf numFmtId="0" fontId="18" fillId="7" borderId="2" xfId="0" applyFont="1" applyFill="1" applyBorder="1" applyAlignment="1">
      <alignment horizontal="left"/>
    </xf>
    <xf numFmtId="0" fontId="18" fillId="7" borderId="4" xfId="0" applyFont="1" applyFill="1" applyBorder="1" applyAlignment="1">
      <alignment horizontal="left"/>
    </xf>
    <xf numFmtId="4" fontId="18" fillId="7" borderId="7" xfId="0" applyNumberFormat="1" applyFont="1" applyFill="1" applyBorder="1" applyAlignment="1">
      <alignment horizontal="right"/>
    </xf>
    <xf numFmtId="0" fontId="18" fillId="7" borderId="12" xfId="0" applyFont="1" applyFill="1" applyBorder="1" applyAlignment="1">
      <alignment horizontal="right"/>
    </xf>
    <xf numFmtId="0" fontId="18" fillId="11" borderId="6" xfId="0" applyFont="1" applyFill="1" applyBorder="1" applyAlignment="1">
      <alignment horizontal="left"/>
    </xf>
    <xf numFmtId="0" fontId="18" fillId="11" borderId="5" xfId="0" applyFont="1" applyFill="1" applyBorder="1" applyAlignment="1">
      <alignment horizontal="left"/>
    </xf>
    <xf numFmtId="0" fontId="18" fillId="11" borderId="11" xfId="0" applyFont="1" applyFill="1" applyBorder="1" applyAlignment="1">
      <alignment horizontal="left"/>
    </xf>
    <xf numFmtId="4" fontId="18" fillId="7" borderId="3" xfId="0" applyNumberFormat="1" applyFont="1" applyFill="1" applyBorder="1"/>
    <xf numFmtId="0" fontId="18" fillId="7" borderId="3" xfId="0" applyFont="1" applyFill="1" applyBorder="1"/>
    <xf numFmtId="0" fontId="18" fillId="7" borderId="10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 shrinkToFit="1"/>
    </xf>
    <xf numFmtId="0" fontId="18" fillId="8" borderId="8" xfId="0" applyFont="1" applyFill="1" applyBorder="1" applyAlignment="1">
      <alignment horizontal="left" shrinkToFit="1"/>
    </xf>
    <xf numFmtId="0" fontId="18" fillId="8" borderId="9" xfId="0" applyFont="1" applyFill="1" applyBorder="1" applyAlignment="1">
      <alignment horizontal="left" shrinkToFit="1"/>
    </xf>
    <xf numFmtId="0" fontId="11" fillId="7" borderId="8" xfId="0" applyFont="1" applyFill="1" applyBorder="1" applyAlignment="1">
      <alignment horizontal="left" wrapText="1" shrinkToFit="1"/>
    </xf>
    <xf numFmtId="0" fontId="11" fillId="7" borderId="9" xfId="0" applyFont="1" applyFill="1" applyBorder="1" applyAlignment="1">
      <alignment horizontal="left" wrapText="1" shrinkToFit="1"/>
    </xf>
    <xf numFmtId="0" fontId="11" fillId="7" borderId="10" xfId="0" applyFont="1" applyFill="1" applyBorder="1" applyAlignment="1">
      <alignment horizontal="left" wrapText="1" shrinkToFit="1"/>
    </xf>
    <xf numFmtId="4" fontId="0" fillId="7" borderId="7" xfId="0" applyNumberFormat="1" applyFill="1" applyBorder="1" applyAlignment="1">
      <alignment horizontal="center"/>
    </xf>
    <xf numFmtId="4" fontId="0" fillId="7" borderId="12" xfId="0" applyNumberFormat="1" applyFill="1" applyBorder="1" applyAlignment="1">
      <alignment horizontal="center"/>
    </xf>
    <xf numFmtId="4" fontId="1" fillId="7" borderId="7" xfId="0" applyNumberFormat="1" applyFont="1" applyFill="1" applyBorder="1" applyAlignment="1">
      <alignment horizontal="right"/>
    </xf>
    <xf numFmtId="4" fontId="1" fillId="7" borderId="12" xfId="0" applyNumberFormat="1" applyFont="1" applyFill="1" applyBorder="1" applyAlignment="1">
      <alignment horizontal="right"/>
    </xf>
    <xf numFmtId="4" fontId="18" fillId="7" borderId="3" xfId="0" applyNumberFormat="1" applyFont="1" applyFill="1" applyBorder="1" applyAlignment="1">
      <alignment horizontal="right"/>
    </xf>
    <xf numFmtId="0" fontId="18" fillId="7" borderId="3" xfId="0" applyFont="1" applyFill="1" applyBorder="1" applyAlignment="1">
      <alignment horizontal="right"/>
    </xf>
    <xf numFmtId="4" fontId="18" fillId="8" borderId="3" xfId="0" applyNumberFormat="1" applyFont="1" applyFill="1" applyBorder="1" applyAlignment="1">
      <alignment horizontal="right" shrinkToFit="1"/>
    </xf>
    <xf numFmtId="0" fontId="18" fillId="8" borderId="3" xfId="0" applyFont="1" applyFill="1" applyBorder="1" applyAlignment="1">
      <alignment horizontal="right" shrinkToFit="1"/>
    </xf>
    <xf numFmtId="0" fontId="18" fillId="7" borderId="7" xfId="0" applyFont="1" applyFill="1" applyBorder="1" applyAlignment="1">
      <alignment horizontal="right"/>
    </xf>
    <xf numFmtId="4" fontId="19" fillId="7" borderId="7" xfId="0" applyNumberFormat="1" applyFont="1" applyFill="1" applyBorder="1" applyAlignment="1">
      <alignment horizontal="right"/>
    </xf>
    <xf numFmtId="4" fontId="19" fillId="7" borderId="12" xfId="0" applyNumberFormat="1" applyFont="1" applyFill="1" applyBorder="1" applyAlignment="1">
      <alignment horizontal="right"/>
    </xf>
    <xf numFmtId="4" fontId="11" fillId="7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right"/>
    </xf>
  </cellXfs>
  <cellStyles count="2">
    <cellStyle name="Normalno" xfId="0" builtinId="0"/>
    <cellStyle name="Normalno 4" xfId="1" xr:uid="{03C12450-20C9-43C8-BA9C-D1D3CA454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opLeftCell="A13" workbookViewId="0">
      <selection activeCell="I45" sqref="I45"/>
    </sheetView>
  </sheetViews>
  <sheetFormatPr defaultRowHeight="15" x14ac:dyDescent="0.25"/>
  <cols>
    <col min="5" max="5" width="22.140625" customWidth="1"/>
    <col min="6" max="12" width="25.28515625" customWidth="1"/>
  </cols>
  <sheetData>
    <row r="1" spans="1:13" x14ac:dyDescent="0.25">
      <c r="K1" s="38" t="s">
        <v>57</v>
      </c>
    </row>
    <row r="3" spans="1:13" x14ac:dyDescent="0.25">
      <c r="A3" s="197" t="s">
        <v>59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3" x14ac:dyDescent="0.25">
      <c r="A4" s="197" t="s">
        <v>222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6" spans="1:13" ht="42" customHeight="1" x14ac:dyDescent="0.25">
      <c r="A6" s="195" t="s">
        <v>60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1:13" ht="18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3" ht="15.75" x14ac:dyDescent="0.25">
      <c r="A8" s="195" t="s">
        <v>41</v>
      </c>
      <c r="B8" s="195"/>
      <c r="C8" s="195"/>
      <c r="D8" s="195"/>
      <c r="E8" s="195"/>
      <c r="F8" s="195"/>
      <c r="G8" s="195"/>
      <c r="H8" s="195"/>
      <c r="I8" s="195"/>
      <c r="J8" s="195"/>
      <c r="K8" s="200"/>
      <c r="L8" s="200"/>
    </row>
    <row r="9" spans="1:13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  <c r="L9" s="6"/>
    </row>
    <row r="10" spans="1:13" ht="18" customHeight="1" x14ac:dyDescent="0.25">
      <c r="A10" s="195" t="s">
        <v>50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3" ht="18" x14ac:dyDescent="0.25">
      <c r="A11" s="1"/>
      <c r="B11" s="2"/>
      <c r="C11" s="2"/>
      <c r="D11" s="2"/>
      <c r="E11" s="7"/>
      <c r="F11" s="8"/>
      <c r="G11" s="8"/>
      <c r="H11" s="8"/>
      <c r="I11" s="8"/>
      <c r="J11" s="8"/>
      <c r="K11" s="8"/>
      <c r="L11" s="32" t="s">
        <v>51</v>
      </c>
    </row>
    <row r="12" spans="1:13" ht="25.5" x14ac:dyDescent="0.25">
      <c r="A12" s="27"/>
      <c r="B12" s="28"/>
      <c r="C12" s="28"/>
      <c r="D12" s="29"/>
      <c r="E12" s="30"/>
      <c r="F12" s="4" t="s">
        <v>58</v>
      </c>
      <c r="G12" s="4" t="s">
        <v>72</v>
      </c>
      <c r="H12" s="4" t="s">
        <v>70</v>
      </c>
      <c r="I12" s="4" t="s">
        <v>71</v>
      </c>
      <c r="J12" s="4" t="s">
        <v>14</v>
      </c>
      <c r="K12" s="4" t="s">
        <v>15</v>
      </c>
      <c r="L12" s="4" t="s">
        <v>16</v>
      </c>
    </row>
    <row r="13" spans="1:13" x14ac:dyDescent="0.25">
      <c r="A13" s="201" t="s">
        <v>0</v>
      </c>
      <c r="B13" s="188"/>
      <c r="C13" s="188"/>
      <c r="D13" s="188"/>
      <c r="E13" s="202"/>
      <c r="F13" s="39">
        <f>F14+F15</f>
        <v>11823741.73</v>
      </c>
      <c r="G13" s="39">
        <f t="shared" ref="G13:L13" si="0">G14+G15</f>
        <v>1569280.2083748092</v>
      </c>
      <c r="H13" s="39">
        <f t="shared" si="0"/>
        <v>11981215.5</v>
      </c>
      <c r="I13" s="39">
        <f t="shared" si="0"/>
        <v>1590180.569380848</v>
      </c>
      <c r="J13" s="39">
        <f t="shared" si="0"/>
        <v>1572634.55</v>
      </c>
      <c r="K13" s="39">
        <f t="shared" si="0"/>
        <v>1518700</v>
      </c>
      <c r="L13" s="39">
        <f t="shared" si="0"/>
        <v>1530837</v>
      </c>
      <c r="M13" s="40"/>
    </row>
    <row r="14" spans="1:13" x14ac:dyDescent="0.25">
      <c r="A14" s="184" t="s">
        <v>1</v>
      </c>
      <c r="B14" s="183"/>
      <c r="C14" s="183"/>
      <c r="D14" s="183"/>
      <c r="E14" s="199"/>
      <c r="F14" s="41">
        <v>11802249.25</v>
      </c>
      <c r="G14" s="41">
        <f>F14/7.5345</f>
        <v>1566427.666069414</v>
      </c>
      <c r="H14" s="41">
        <v>11977215.5</v>
      </c>
      <c r="I14" s="41">
        <f>H14/7.5345</f>
        <v>1589649.6781471896</v>
      </c>
      <c r="J14" s="41">
        <f>1571904.57</f>
        <v>1571904.57</v>
      </c>
      <c r="K14" s="41">
        <v>1518200</v>
      </c>
      <c r="L14" s="41">
        <v>1530250</v>
      </c>
      <c r="M14" s="40"/>
    </row>
    <row r="15" spans="1:13" x14ac:dyDescent="0.25">
      <c r="A15" s="198" t="s">
        <v>2</v>
      </c>
      <c r="B15" s="199"/>
      <c r="C15" s="199"/>
      <c r="D15" s="199"/>
      <c r="E15" s="199"/>
      <c r="F15" s="41">
        <v>21492.48</v>
      </c>
      <c r="G15" s="41">
        <f>F15/7.5345</f>
        <v>2852.5423053951818</v>
      </c>
      <c r="H15" s="41">
        <v>4000</v>
      </c>
      <c r="I15" s="41">
        <f>H15/7.5345</f>
        <v>530.89123365850423</v>
      </c>
      <c r="J15" s="41">
        <f>729.98</f>
        <v>729.98</v>
      </c>
      <c r="K15" s="41">
        <v>500</v>
      </c>
      <c r="L15" s="41">
        <v>587</v>
      </c>
      <c r="M15" s="40"/>
    </row>
    <row r="16" spans="1:13" x14ac:dyDescent="0.25">
      <c r="A16" s="33" t="s">
        <v>3</v>
      </c>
      <c r="B16" s="34"/>
      <c r="C16" s="34"/>
      <c r="D16" s="34"/>
      <c r="E16" s="34"/>
      <c r="F16" s="39">
        <f>F17+F18</f>
        <v>13379793.32</v>
      </c>
      <c r="G16" s="39">
        <f t="shared" ref="G16:L16" si="1">G17+G18</f>
        <v>1775803.7454376533</v>
      </c>
      <c r="H16" s="39">
        <f t="shared" si="1"/>
        <v>12311217.300000001</v>
      </c>
      <c r="I16" s="39">
        <f t="shared" si="1"/>
        <v>1633979.3350587296</v>
      </c>
      <c r="J16" s="39">
        <f t="shared" si="1"/>
        <v>1572634.5499999998</v>
      </c>
      <c r="K16" s="39">
        <f t="shared" si="1"/>
        <v>1518700</v>
      </c>
      <c r="L16" s="39">
        <f t="shared" si="1"/>
        <v>1530837</v>
      </c>
      <c r="M16" s="40"/>
    </row>
    <row r="17" spans="1:13" x14ac:dyDescent="0.25">
      <c r="A17" s="182" t="s">
        <v>4</v>
      </c>
      <c r="B17" s="183"/>
      <c r="C17" s="183"/>
      <c r="D17" s="183"/>
      <c r="E17" s="183"/>
      <c r="F17" s="41">
        <v>5596770.75</v>
      </c>
      <c r="G17" s="41">
        <f>F17/7.5345</f>
        <v>742819.13199283287</v>
      </c>
      <c r="H17" s="41">
        <v>7161617.2999999998</v>
      </c>
      <c r="I17" s="41">
        <f>H17/7.5345</f>
        <v>950509.96084677149</v>
      </c>
      <c r="J17" s="41">
        <f>1016791.44</f>
        <v>1016791.44</v>
      </c>
      <c r="K17" s="41">
        <v>1130244.83</v>
      </c>
      <c r="L17" s="159">
        <v>1018499.32</v>
      </c>
      <c r="M17" s="40"/>
    </row>
    <row r="18" spans="1:13" x14ac:dyDescent="0.25">
      <c r="A18" s="198" t="s">
        <v>5</v>
      </c>
      <c r="B18" s="199"/>
      <c r="C18" s="199"/>
      <c r="D18" s="199"/>
      <c r="E18" s="199"/>
      <c r="F18" s="41">
        <v>7783022.5700000003</v>
      </c>
      <c r="G18" s="41">
        <f>F18/7.5345</f>
        <v>1032984.6134448205</v>
      </c>
      <c r="H18" s="41">
        <v>5149600</v>
      </c>
      <c r="I18" s="41">
        <f>H18/7.5345</f>
        <v>683469.37421195826</v>
      </c>
      <c r="J18" s="41">
        <v>555843.11</v>
      </c>
      <c r="K18" s="41">
        <v>388455.17</v>
      </c>
      <c r="L18" s="159">
        <v>512337.68</v>
      </c>
      <c r="M18" s="40"/>
    </row>
    <row r="19" spans="1:13" x14ac:dyDescent="0.25">
      <c r="A19" s="187" t="s">
        <v>6</v>
      </c>
      <c r="B19" s="188"/>
      <c r="C19" s="188"/>
      <c r="D19" s="188"/>
      <c r="E19" s="188"/>
      <c r="F19" s="39">
        <f>F13-F16</f>
        <v>-1556051.5899999999</v>
      </c>
      <c r="G19" s="39">
        <f>G13-G16</f>
        <v>-206523.53706284403</v>
      </c>
      <c r="H19" s="39">
        <f t="shared" ref="H19:L19" si="2">H13-H16</f>
        <v>-330001.80000000075</v>
      </c>
      <c r="I19" s="39">
        <f t="shared" si="2"/>
        <v>-43798.76567788166</v>
      </c>
      <c r="J19" s="39">
        <f t="shared" si="2"/>
        <v>0</v>
      </c>
      <c r="K19" s="39">
        <f t="shared" si="2"/>
        <v>0</v>
      </c>
      <c r="L19" s="39">
        <f t="shared" si="2"/>
        <v>0</v>
      </c>
      <c r="M19" s="40"/>
    </row>
    <row r="20" spans="1:13" ht="18" x14ac:dyDescent="0.25">
      <c r="A20" s="5"/>
      <c r="B20" s="9"/>
      <c r="C20" s="9"/>
      <c r="D20" s="9"/>
      <c r="E20" s="9"/>
      <c r="F20" s="9"/>
      <c r="G20" s="9"/>
      <c r="H20" s="9"/>
      <c r="I20" s="9"/>
      <c r="J20" s="158"/>
      <c r="K20" s="3"/>
      <c r="L20" s="3"/>
    </row>
    <row r="21" spans="1:13" ht="18" customHeight="1" x14ac:dyDescent="0.25">
      <c r="A21" s="195" t="s">
        <v>49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</row>
    <row r="22" spans="1:13" ht="18" x14ac:dyDescent="0.25">
      <c r="A22" s="5"/>
      <c r="B22" s="9"/>
      <c r="C22" s="9"/>
      <c r="D22" s="9"/>
      <c r="E22" s="9"/>
      <c r="F22" s="9"/>
      <c r="G22" s="9"/>
      <c r="H22" s="9"/>
      <c r="I22" s="9"/>
      <c r="J22" s="3"/>
      <c r="K22" s="3"/>
      <c r="L22" s="3"/>
    </row>
    <row r="23" spans="1:13" ht="25.5" x14ac:dyDescent="0.25">
      <c r="A23" s="27"/>
      <c r="B23" s="28"/>
      <c r="C23" s="28"/>
      <c r="D23" s="29"/>
      <c r="E23" s="30"/>
      <c r="F23" s="4" t="s">
        <v>12</v>
      </c>
      <c r="G23" s="4"/>
      <c r="H23" s="4" t="s">
        <v>13</v>
      </c>
      <c r="I23" s="4"/>
      <c r="J23" s="4" t="s">
        <v>14</v>
      </c>
      <c r="K23" s="4" t="s">
        <v>15</v>
      </c>
      <c r="L23" s="4" t="s">
        <v>16</v>
      </c>
    </row>
    <row r="24" spans="1:13" ht="15.75" customHeight="1" x14ac:dyDescent="0.25">
      <c r="A24" s="184" t="s">
        <v>8</v>
      </c>
      <c r="B24" s="185"/>
      <c r="C24" s="185"/>
      <c r="D24" s="185"/>
      <c r="E24" s="186"/>
      <c r="F24" s="26"/>
      <c r="G24" s="26"/>
      <c r="H24" s="26"/>
      <c r="I24" s="26"/>
      <c r="J24" s="26"/>
      <c r="K24" s="26"/>
      <c r="L24" s="26"/>
    </row>
    <row r="25" spans="1:13" x14ac:dyDescent="0.25">
      <c r="A25" s="184" t="s">
        <v>9</v>
      </c>
      <c r="B25" s="183"/>
      <c r="C25" s="183"/>
      <c r="D25" s="183"/>
      <c r="E25" s="183"/>
      <c r="F25" s="26"/>
      <c r="G25" s="26"/>
      <c r="H25" s="26"/>
      <c r="I25" s="26"/>
      <c r="J25" s="26"/>
      <c r="K25" s="26"/>
      <c r="L25" s="26"/>
    </row>
    <row r="26" spans="1:13" x14ac:dyDescent="0.25">
      <c r="A26" s="187" t="s">
        <v>10</v>
      </c>
      <c r="B26" s="188"/>
      <c r="C26" s="188"/>
      <c r="D26" s="188"/>
      <c r="E26" s="188"/>
      <c r="F26" s="31">
        <v>0</v>
      </c>
      <c r="G26" s="31"/>
      <c r="H26" s="31">
        <v>0</v>
      </c>
      <c r="I26" s="31"/>
      <c r="J26" s="31">
        <v>0</v>
      </c>
      <c r="K26" s="31">
        <v>0</v>
      </c>
      <c r="L26" s="31">
        <v>0</v>
      </c>
    </row>
    <row r="27" spans="1:13" ht="18" x14ac:dyDescent="0.25">
      <c r="A27" s="24"/>
      <c r="B27" s="9"/>
      <c r="C27" s="9"/>
      <c r="D27" s="9"/>
      <c r="E27" s="9"/>
      <c r="F27" s="9"/>
      <c r="G27" s="9"/>
      <c r="H27" s="9"/>
      <c r="I27" s="9"/>
      <c r="J27" s="3"/>
      <c r="K27" s="3"/>
      <c r="L27" s="3"/>
    </row>
    <row r="28" spans="1:13" ht="18" customHeight="1" x14ac:dyDescent="0.25">
      <c r="A28" s="195" t="s">
        <v>54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1:13" ht="18" x14ac:dyDescent="0.25">
      <c r="A29" s="24"/>
      <c r="B29" s="9"/>
      <c r="C29" s="9"/>
      <c r="D29" s="9"/>
      <c r="E29" s="9"/>
      <c r="F29" s="9"/>
      <c r="G29" s="9"/>
      <c r="H29" s="9"/>
      <c r="I29" s="9"/>
      <c r="J29" s="3"/>
      <c r="K29" s="3"/>
      <c r="L29" s="3"/>
    </row>
    <row r="30" spans="1:13" ht="25.5" x14ac:dyDescent="0.25">
      <c r="A30" s="27"/>
      <c r="B30" s="28"/>
      <c r="C30" s="28"/>
      <c r="D30" s="29"/>
      <c r="E30" s="30"/>
      <c r="F30" s="4" t="s">
        <v>12</v>
      </c>
      <c r="G30" s="4"/>
      <c r="H30" s="4" t="s">
        <v>13</v>
      </c>
      <c r="I30" s="4"/>
      <c r="J30" s="4" t="s">
        <v>14</v>
      </c>
      <c r="K30" s="4" t="s">
        <v>15</v>
      </c>
      <c r="L30" s="4" t="s">
        <v>16</v>
      </c>
    </row>
    <row r="31" spans="1:13" x14ac:dyDescent="0.25">
      <c r="A31" s="192" t="s">
        <v>52</v>
      </c>
      <c r="B31" s="193"/>
      <c r="C31" s="193"/>
      <c r="D31" s="193"/>
      <c r="E31" s="194"/>
      <c r="F31" s="43">
        <v>2133840.27</v>
      </c>
      <c r="G31" s="43">
        <f>F31/7.5345</f>
        <v>283209.2733426239</v>
      </c>
      <c r="H31" s="43">
        <v>577788.68000000005</v>
      </c>
      <c r="I31" s="43">
        <f>H31/7.5345</f>
        <v>76685.736279779681</v>
      </c>
      <c r="J31" s="43"/>
      <c r="K31" s="43"/>
      <c r="L31" s="44"/>
    </row>
    <row r="32" spans="1:13" ht="30" customHeight="1" x14ac:dyDescent="0.25">
      <c r="A32" s="189" t="s">
        <v>7</v>
      </c>
      <c r="B32" s="190"/>
      <c r="C32" s="190"/>
      <c r="D32" s="190"/>
      <c r="E32" s="191"/>
      <c r="F32" s="45">
        <v>1556051.59</v>
      </c>
      <c r="G32" s="45">
        <f>F32/7.5345</f>
        <v>206523.53706284426</v>
      </c>
      <c r="H32" s="45">
        <v>330001.8</v>
      </c>
      <c r="I32" s="45">
        <f>H32/7.5345</f>
        <v>43798.76567788174</v>
      </c>
      <c r="J32" s="45"/>
      <c r="K32" s="45"/>
      <c r="L32" s="42"/>
    </row>
    <row r="33" spans="1:12" x14ac:dyDescent="0.25">
      <c r="F33" s="40"/>
      <c r="G33" s="40"/>
      <c r="H33" s="40"/>
      <c r="I33" s="40"/>
      <c r="J33" s="40"/>
      <c r="K33" s="40"/>
      <c r="L33" s="40"/>
    </row>
    <row r="34" spans="1:12" x14ac:dyDescent="0.25">
      <c r="F34" s="40"/>
      <c r="G34" s="40"/>
      <c r="H34" s="40"/>
      <c r="I34" s="40"/>
      <c r="J34" s="40"/>
      <c r="K34" s="40"/>
      <c r="L34" s="40"/>
    </row>
    <row r="35" spans="1:12" x14ac:dyDescent="0.25">
      <c r="A35" s="182" t="s">
        <v>11</v>
      </c>
      <c r="B35" s="183"/>
      <c r="C35" s="183"/>
      <c r="D35" s="183"/>
      <c r="E35" s="183"/>
      <c r="F35" s="41">
        <v>577788.68000000005</v>
      </c>
      <c r="G35" s="41">
        <f>F35/7.5345</f>
        <v>76685.736279779681</v>
      </c>
      <c r="H35" s="41">
        <v>0</v>
      </c>
      <c r="I35" s="41"/>
      <c r="J35" s="41">
        <v>0</v>
      </c>
      <c r="K35" s="41">
        <v>0</v>
      </c>
      <c r="L35" s="41">
        <v>0</v>
      </c>
    </row>
    <row r="36" spans="1:12" ht="11.25" customHeight="1" x14ac:dyDescent="0.25">
      <c r="A36" s="19"/>
      <c r="B36" s="20"/>
      <c r="C36" s="20"/>
      <c r="D36" s="20"/>
      <c r="E36" s="20"/>
      <c r="F36" s="21"/>
      <c r="G36" s="21"/>
      <c r="H36" s="21"/>
      <c r="I36" s="21"/>
      <c r="J36" s="21"/>
      <c r="K36" s="21"/>
      <c r="L36" s="21"/>
    </row>
  </sheetData>
  <mergeCells count="19">
    <mergeCell ref="A17:E17"/>
    <mergeCell ref="A10:L10"/>
    <mergeCell ref="A21:L21"/>
    <mergeCell ref="A28:L28"/>
    <mergeCell ref="A3:L3"/>
    <mergeCell ref="A4:L4"/>
    <mergeCell ref="A18:E18"/>
    <mergeCell ref="A19:E19"/>
    <mergeCell ref="A6:L6"/>
    <mergeCell ref="A8:L8"/>
    <mergeCell ref="A13:E13"/>
    <mergeCell ref="A14:E14"/>
    <mergeCell ref="A15:E15"/>
    <mergeCell ref="A35:E35"/>
    <mergeCell ref="A24:E24"/>
    <mergeCell ref="A25:E25"/>
    <mergeCell ref="A26:E26"/>
    <mergeCell ref="A32:E32"/>
    <mergeCell ref="A31:E31"/>
  </mergeCells>
  <pageMargins left="0.31496062992125984" right="0.31496062992125984" top="0.35433070866141736" bottom="0.35433070866141736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"/>
  <sheetViews>
    <sheetView topLeftCell="A43" zoomScale="106" zoomScaleNormal="106" workbookViewId="0">
      <selection activeCell="K39" sqref="K39"/>
    </sheetView>
  </sheetViews>
  <sheetFormatPr defaultRowHeight="14.25" x14ac:dyDescent="0.2"/>
  <cols>
    <col min="1" max="1" width="7.5703125" style="149" bestFit="1" customWidth="1"/>
    <col min="2" max="2" width="8.5703125" style="149" bestFit="1" customWidth="1"/>
    <col min="3" max="3" width="5.42578125" style="149" bestFit="1" customWidth="1"/>
    <col min="4" max="9" width="25.28515625" style="149" customWidth="1"/>
    <col min="10" max="10" width="11.85546875" style="149" bestFit="1" customWidth="1"/>
    <col min="11" max="12" width="15.140625" style="149" bestFit="1" customWidth="1"/>
    <col min="13" max="13" width="13.7109375" style="149" bestFit="1" customWidth="1"/>
    <col min="14" max="14" width="12.7109375" style="149" bestFit="1" customWidth="1"/>
    <col min="15" max="15" width="9.140625" style="149"/>
    <col min="16" max="16" width="12.5703125" style="149" bestFit="1" customWidth="1"/>
    <col min="17" max="16384" width="9.140625" style="149"/>
  </cols>
  <sheetData>
    <row r="1" spans="1:14" ht="42" customHeight="1" x14ac:dyDescent="0.2">
      <c r="A1" s="195" t="s">
        <v>60</v>
      </c>
      <c r="B1" s="195"/>
      <c r="C1" s="195"/>
      <c r="D1" s="195"/>
      <c r="E1" s="195"/>
      <c r="F1" s="195"/>
      <c r="G1" s="195"/>
      <c r="H1" s="195"/>
      <c r="I1" s="195"/>
      <c r="J1" s="37"/>
      <c r="K1" s="37"/>
      <c r="L1" s="37"/>
    </row>
    <row r="2" spans="1:14" ht="18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14" ht="15.75" x14ac:dyDescent="0.2">
      <c r="A3" s="195" t="s">
        <v>41</v>
      </c>
      <c r="B3" s="195"/>
      <c r="C3" s="195"/>
      <c r="D3" s="195"/>
      <c r="E3" s="195"/>
      <c r="F3" s="195"/>
      <c r="G3" s="195"/>
      <c r="H3" s="200"/>
      <c r="I3" s="200"/>
    </row>
    <row r="4" spans="1:14" ht="18" x14ac:dyDescent="0.2">
      <c r="A4" s="5"/>
      <c r="B4" s="5"/>
      <c r="C4" s="5"/>
      <c r="D4" s="5"/>
      <c r="E4" s="5"/>
      <c r="F4" s="5"/>
      <c r="G4" s="5"/>
      <c r="H4" s="6"/>
      <c r="I4" s="6"/>
    </row>
    <row r="5" spans="1:14" ht="18" customHeight="1" x14ac:dyDescent="0.2">
      <c r="A5" s="195" t="s">
        <v>18</v>
      </c>
      <c r="B5" s="204"/>
      <c r="C5" s="204"/>
      <c r="D5" s="204"/>
      <c r="E5" s="204"/>
      <c r="F5" s="204"/>
      <c r="G5" s="204"/>
      <c r="H5" s="204"/>
      <c r="I5" s="204"/>
    </row>
    <row r="6" spans="1:14" ht="18" x14ac:dyDescent="0.2">
      <c r="A6" s="5"/>
      <c r="B6" s="5"/>
      <c r="C6" s="5"/>
      <c r="D6" s="5"/>
      <c r="E6" s="5"/>
      <c r="F6" s="5"/>
      <c r="G6" s="5"/>
      <c r="H6" s="6"/>
      <c r="I6" s="6"/>
    </row>
    <row r="7" spans="1:14" ht="15" x14ac:dyDescent="0.2">
      <c r="A7" s="195" t="s">
        <v>1</v>
      </c>
      <c r="B7" s="203"/>
      <c r="C7" s="203"/>
      <c r="D7" s="203"/>
      <c r="E7" s="203"/>
      <c r="F7" s="203"/>
      <c r="G7" s="203"/>
      <c r="H7" s="203"/>
      <c r="I7" s="203"/>
    </row>
    <row r="8" spans="1:14" ht="18" x14ac:dyDescent="0.2">
      <c r="A8" s="5"/>
      <c r="B8" s="5"/>
      <c r="C8" s="5"/>
      <c r="D8" s="5"/>
      <c r="E8" s="5"/>
      <c r="F8" s="5"/>
      <c r="G8" s="5"/>
      <c r="H8" s="6"/>
      <c r="I8" s="6"/>
    </row>
    <row r="9" spans="1:14" ht="25.5" x14ac:dyDescent="0.2">
      <c r="A9" s="23" t="s">
        <v>19</v>
      </c>
      <c r="B9" s="22" t="s">
        <v>20</v>
      </c>
      <c r="C9" s="22" t="s">
        <v>21</v>
      </c>
      <c r="D9" s="22" t="s">
        <v>17</v>
      </c>
      <c r="E9" s="22" t="s">
        <v>12</v>
      </c>
      <c r="F9" s="23" t="s">
        <v>13</v>
      </c>
      <c r="G9" s="23" t="s">
        <v>14</v>
      </c>
      <c r="H9" s="23" t="s">
        <v>15</v>
      </c>
      <c r="I9" s="23" t="s">
        <v>16</v>
      </c>
    </row>
    <row r="10" spans="1:14" ht="15.75" customHeight="1" x14ac:dyDescent="0.2">
      <c r="A10" s="13">
        <v>6</v>
      </c>
      <c r="B10" s="13"/>
      <c r="C10" s="139"/>
      <c r="D10" s="13" t="s">
        <v>22</v>
      </c>
      <c r="E10" s="49">
        <f>E11+E14+E18+E22+E26</f>
        <v>1566427.666069414</v>
      </c>
      <c r="F10" s="49">
        <f>F11+F14+F18+F22+F26</f>
        <v>1589649.6816563804</v>
      </c>
      <c r="G10" s="143">
        <f>G11+G14+G18+G22+G26</f>
        <v>1571904.5700000003</v>
      </c>
      <c r="H10" s="143">
        <f>H11+H14+H18+H22+H26</f>
        <v>1518200</v>
      </c>
      <c r="I10" s="143">
        <f>I11+I14+I18+I22+I26</f>
        <v>1530250</v>
      </c>
    </row>
    <row r="11" spans="1:14" ht="15.75" customHeight="1" x14ac:dyDescent="0.2">
      <c r="A11" s="13"/>
      <c r="B11" s="17">
        <v>61</v>
      </c>
      <c r="C11" s="140"/>
      <c r="D11" s="17" t="s">
        <v>23</v>
      </c>
      <c r="E11" s="46">
        <f>798511.73/7.5345</f>
        <v>105980.71935762159</v>
      </c>
      <c r="F11" s="47">
        <f>880000/7.5345</f>
        <v>116796.07140487092</v>
      </c>
      <c r="G11" s="130">
        <f>153427.57</f>
        <v>153427.57</v>
      </c>
      <c r="H11" s="130">
        <v>155000</v>
      </c>
      <c r="I11" s="130">
        <v>150000</v>
      </c>
      <c r="L11" s="175"/>
      <c r="M11" s="175"/>
      <c r="N11" s="175"/>
    </row>
    <row r="12" spans="1:14" x14ac:dyDescent="0.2">
      <c r="A12" s="127"/>
      <c r="B12" s="127"/>
      <c r="C12" s="128" t="s">
        <v>204</v>
      </c>
      <c r="D12" s="129" t="s">
        <v>24</v>
      </c>
      <c r="E12" s="61">
        <f>E11</f>
        <v>105980.71935762159</v>
      </c>
      <c r="F12" s="130">
        <f>F11</f>
        <v>116796.07140487092</v>
      </c>
      <c r="G12" s="130">
        <f>G11</f>
        <v>153427.57</v>
      </c>
      <c r="H12" s="130">
        <f>H11</f>
        <v>155000</v>
      </c>
      <c r="I12" s="130">
        <f>I11</f>
        <v>150000</v>
      </c>
      <c r="J12" s="175"/>
      <c r="K12" s="175"/>
      <c r="L12" s="175"/>
      <c r="M12" s="175"/>
      <c r="N12" s="175"/>
    </row>
    <row r="13" spans="1:14" x14ac:dyDescent="0.2">
      <c r="A13" s="127"/>
      <c r="B13" s="127"/>
      <c r="C13" s="128"/>
      <c r="D13" s="129"/>
      <c r="E13" s="61"/>
      <c r="F13" s="130"/>
      <c r="G13" s="130"/>
      <c r="H13" s="130"/>
      <c r="I13" s="130"/>
      <c r="K13" s="175"/>
      <c r="L13" s="175"/>
      <c r="M13" s="175"/>
      <c r="N13" s="175"/>
    </row>
    <row r="14" spans="1:14" ht="38.25" x14ac:dyDescent="0.2">
      <c r="A14" s="14"/>
      <c r="B14" s="14">
        <v>63</v>
      </c>
      <c r="C14" s="141"/>
      <c r="D14" s="18" t="s">
        <v>61</v>
      </c>
      <c r="E14" s="46">
        <f>8358284.32/7.5345</f>
        <v>1109334.968478333</v>
      </c>
      <c r="F14" s="47">
        <v>932293.52</v>
      </c>
      <c r="G14" s="130">
        <f>776016.99</f>
        <v>776016.99</v>
      </c>
      <c r="H14" s="130">
        <v>700000</v>
      </c>
      <c r="I14" s="130">
        <v>720000</v>
      </c>
      <c r="K14" s="175"/>
      <c r="L14" s="175"/>
      <c r="M14" s="175"/>
      <c r="N14" s="175"/>
    </row>
    <row r="15" spans="1:14" x14ac:dyDescent="0.2">
      <c r="A15" s="14"/>
      <c r="B15" s="14"/>
      <c r="C15" s="128" t="s">
        <v>204</v>
      </c>
      <c r="D15" s="129" t="s">
        <v>24</v>
      </c>
      <c r="E15" s="46">
        <f>E14-E16</f>
        <v>254.82847833284177</v>
      </c>
      <c r="F15" s="47">
        <v>265.45</v>
      </c>
      <c r="G15" s="130">
        <f>265.45</f>
        <v>265.45</v>
      </c>
      <c r="H15" s="130">
        <v>265.45</v>
      </c>
      <c r="I15" s="130">
        <v>254.83</v>
      </c>
      <c r="K15" s="175"/>
      <c r="L15" s="175"/>
      <c r="M15" s="175"/>
    </row>
    <row r="16" spans="1:14" x14ac:dyDescent="0.2">
      <c r="A16" s="127"/>
      <c r="B16" s="127"/>
      <c r="C16" s="128" t="s">
        <v>205</v>
      </c>
      <c r="D16" s="129" t="s">
        <v>206</v>
      </c>
      <c r="E16" s="61">
        <f>1109080.1+0.04</f>
        <v>1109080.1400000001</v>
      </c>
      <c r="F16" s="130">
        <v>932028.07</v>
      </c>
      <c r="G16" s="130">
        <f>G14-G15</f>
        <v>775751.54</v>
      </c>
      <c r="H16" s="130">
        <f>H14-H15</f>
        <v>699734.55</v>
      </c>
      <c r="I16" s="130">
        <f>I14-I15</f>
        <v>719745.17</v>
      </c>
      <c r="L16" s="175"/>
    </row>
    <row r="17" spans="1:12" x14ac:dyDescent="0.2">
      <c r="A17" s="127"/>
      <c r="B17" s="127"/>
      <c r="C17" s="128"/>
      <c r="D17" s="129"/>
      <c r="E17" s="61"/>
      <c r="F17" s="130"/>
      <c r="G17" s="130"/>
      <c r="H17" s="130"/>
      <c r="I17" s="130"/>
      <c r="L17" s="175"/>
    </row>
    <row r="18" spans="1:12" x14ac:dyDescent="0.2">
      <c r="A18" s="14"/>
      <c r="B18" s="14">
        <v>64</v>
      </c>
      <c r="C18" s="141"/>
      <c r="D18" s="15" t="s">
        <v>55</v>
      </c>
      <c r="E18" s="46">
        <f>1632877.55/7.5345</f>
        <v>216720.09423319396</v>
      </c>
      <c r="F18" s="47">
        <f>2934350/7.5345</f>
        <v>389455.17287145794</v>
      </c>
      <c r="G18" s="130">
        <f>498336.32</f>
        <v>498336.32</v>
      </c>
      <c r="H18" s="130">
        <v>518000</v>
      </c>
      <c r="I18" s="130">
        <v>520000</v>
      </c>
    </row>
    <row r="19" spans="1:12" x14ac:dyDescent="0.2">
      <c r="A19" s="14"/>
      <c r="B19" s="14"/>
      <c r="C19" s="128" t="s">
        <v>204</v>
      </c>
      <c r="D19" s="129" t="s">
        <v>24</v>
      </c>
      <c r="E19" s="46">
        <f>E18-E20</f>
        <v>214676.74430950958</v>
      </c>
      <c r="F19" s="47">
        <f>F18-F20</f>
        <v>386601.63287145796</v>
      </c>
      <c r="G19" s="130">
        <f>G18-G20</f>
        <v>495549.14</v>
      </c>
      <c r="H19" s="130">
        <f>H18-H20</f>
        <v>515199</v>
      </c>
      <c r="I19" s="130">
        <f>I18-I20</f>
        <v>517146</v>
      </c>
      <c r="L19" s="144"/>
    </row>
    <row r="20" spans="1:12" x14ac:dyDescent="0.2">
      <c r="A20" s="127"/>
      <c r="B20" s="127"/>
      <c r="C20" s="128" t="s">
        <v>207</v>
      </c>
      <c r="D20" s="129" t="s">
        <v>208</v>
      </c>
      <c r="E20" s="61">
        <f>15395.62/7.5345</f>
        <v>2043.3499236843852</v>
      </c>
      <c r="F20" s="130">
        <v>2853.54</v>
      </c>
      <c r="G20" s="130">
        <f>2787.18</f>
        <v>2787.18</v>
      </c>
      <c r="H20" s="130">
        <v>2801</v>
      </c>
      <c r="I20" s="130">
        <v>2854</v>
      </c>
      <c r="L20" s="145"/>
    </row>
    <row r="21" spans="1:12" x14ac:dyDescent="0.2">
      <c r="A21" s="127"/>
      <c r="B21" s="127"/>
      <c r="C21" s="128"/>
      <c r="D21" s="129"/>
      <c r="E21" s="61"/>
      <c r="F21" s="130"/>
      <c r="G21" s="130"/>
      <c r="H21" s="130"/>
      <c r="I21" s="130"/>
      <c r="L21" s="145"/>
    </row>
    <row r="22" spans="1:12" ht="51" x14ac:dyDescent="0.2">
      <c r="A22" s="14"/>
      <c r="B22" s="14">
        <v>65</v>
      </c>
      <c r="C22" s="141"/>
      <c r="D22" s="18" t="s">
        <v>63</v>
      </c>
      <c r="E22" s="46">
        <f>986775.65/7.5345</f>
        <v>130967.63554316809</v>
      </c>
      <c r="F22" s="47">
        <f>1134500/7.5345</f>
        <v>150574.02614639324</v>
      </c>
      <c r="G22" s="130">
        <f>143924.61</f>
        <v>143924.60999999999</v>
      </c>
      <c r="H22" s="130">
        <v>145000</v>
      </c>
      <c r="I22" s="130">
        <v>140000</v>
      </c>
      <c r="L22" s="144"/>
    </row>
    <row r="23" spans="1:12" x14ac:dyDescent="0.2">
      <c r="A23" s="14"/>
      <c r="B23" s="14"/>
      <c r="C23" s="128" t="s">
        <v>204</v>
      </c>
      <c r="D23" s="129" t="s">
        <v>24</v>
      </c>
      <c r="E23" s="46">
        <f>E22-E24</f>
        <v>25090.700112814389</v>
      </c>
      <c r="F23" s="47">
        <f>F22-F24</f>
        <v>22881.41614639324</v>
      </c>
      <c r="G23" s="130">
        <f>G22-G24</f>
        <v>22854.859999999986</v>
      </c>
      <c r="H23" s="130">
        <f>H22-H24</f>
        <v>21990</v>
      </c>
      <c r="I23" s="130">
        <f>I22-I24</f>
        <v>20000</v>
      </c>
      <c r="L23" s="144"/>
    </row>
    <row r="24" spans="1:12" x14ac:dyDescent="0.2">
      <c r="A24" s="127"/>
      <c r="B24" s="127"/>
      <c r="C24" s="128" t="s">
        <v>207</v>
      </c>
      <c r="D24" s="129" t="s">
        <v>208</v>
      </c>
      <c r="E24" s="46">
        <f>797729.77/7.5345</f>
        <v>105876.9354303537</v>
      </c>
      <c r="F24" s="47">
        <v>127692.61</v>
      </c>
      <c r="G24" s="130">
        <f>121069.75</f>
        <v>121069.75</v>
      </c>
      <c r="H24" s="130">
        <v>123010</v>
      </c>
      <c r="I24" s="130">
        <v>120000</v>
      </c>
      <c r="L24" s="145"/>
    </row>
    <row r="25" spans="1:12" x14ac:dyDescent="0.2">
      <c r="A25" s="127"/>
      <c r="B25" s="127"/>
      <c r="C25" s="128"/>
      <c r="D25" s="129"/>
      <c r="E25" s="46"/>
      <c r="F25" s="47"/>
      <c r="G25" s="130"/>
      <c r="H25" s="130"/>
      <c r="I25" s="130"/>
      <c r="L25" s="145"/>
    </row>
    <row r="26" spans="1:12" ht="51" x14ac:dyDescent="0.2">
      <c r="A26" s="14"/>
      <c r="B26" s="14">
        <v>66</v>
      </c>
      <c r="C26" s="141"/>
      <c r="D26" s="18" t="s">
        <v>64</v>
      </c>
      <c r="E26" s="46">
        <f>25800/7.5345</f>
        <v>3424.248457097352</v>
      </c>
      <c r="F26" s="47">
        <f>4000/7.5345</f>
        <v>530.89123365850423</v>
      </c>
      <c r="G26" s="130">
        <f>199.08</f>
        <v>199.08</v>
      </c>
      <c r="H26" s="130">
        <v>200</v>
      </c>
      <c r="I26" s="130">
        <v>250</v>
      </c>
      <c r="L26" s="175"/>
    </row>
    <row r="27" spans="1:12" x14ac:dyDescent="0.2">
      <c r="A27" s="127"/>
      <c r="B27" s="127"/>
      <c r="C27" s="128" t="s">
        <v>204</v>
      </c>
      <c r="D27" s="129" t="s">
        <v>24</v>
      </c>
      <c r="E27" s="61">
        <f>E26</f>
        <v>3424.248457097352</v>
      </c>
      <c r="F27" s="130">
        <f>F26</f>
        <v>530.89123365850423</v>
      </c>
      <c r="G27" s="130">
        <f>G26</f>
        <v>199.08</v>
      </c>
      <c r="H27" s="130">
        <f>H26</f>
        <v>200</v>
      </c>
      <c r="I27" s="130">
        <f>I26</f>
        <v>250</v>
      </c>
    </row>
    <row r="28" spans="1:12" x14ac:dyDescent="0.2">
      <c r="A28" s="127"/>
      <c r="B28" s="127"/>
      <c r="C28" s="128"/>
      <c r="D28" s="129"/>
      <c r="E28" s="61"/>
      <c r="F28" s="61"/>
      <c r="G28" s="61"/>
      <c r="H28" s="61"/>
      <c r="I28" s="61"/>
    </row>
    <row r="29" spans="1:12" ht="25.5" x14ac:dyDescent="0.2">
      <c r="A29" s="16">
        <v>7</v>
      </c>
      <c r="B29" s="16"/>
      <c r="C29" s="142"/>
      <c r="D29" s="35" t="s">
        <v>25</v>
      </c>
      <c r="E29" s="49">
        <f>E30</f>
        <v>2852.5423053951818</v>
      </c>
      <c r="F29" s="49">
        <f t="shared" ref="F29:I29" si="0">F30</f>
        <v>530.89123365850423</v>
      </c>
      <c r="G29" s="143">
        <f t="shared" si="0"/>
        <v>729.98</v>
      </c>
      <c r="H29" s="143">
        <f t="shared" si="0"/>
        <v>500</v>
      </c>
      <c r="I29" s="143">
        <f t="shared" si="0"/>
        <v>587</v>
      </c>
      <c r="L29" s="175"/>
    </row>
    <row r="30" spans="1:12" ht="38.25" x14ac:dyDescent="0.2">
      <c r="A30" s="17"/>
      <c r="B30" s="17">
        <v>72</v>
      </c>
      <c r="C30" s="140"/>
      <c r="D30" s="36" t="s">
        <v>62</v>
      </c>
      <c r="E30" s="46">
        <f>21492.48/7.5345</f>
        <v>2852.5423053951818</v>
      </c>
      <c r="F30" s="47">
        <f>4000/7.5345</f>
        <v>530.89123365850423</v>
      </c>
      <c r="G30" s="130">
        <f>729.98</f>
        <v>729.98</v>
      </c>
      <c r="H30" s="130">
        <v>500</v>
      </c>
      <c r="I30" s="155">
        <v>587</v>
      </c>
    </row>
    <row r="31" spans="1:12" x14ac:dyDescent="0.2">
      <c r="A31" s="131"/>
      <c r="B31" s="131"/>
      <c r="C31" s="128" t="s">
        <v>204</v>
      </c>
      <c r="D31" s="129" t="s">
        <v>24</v>
      </c>
      <c r="E31" s="61">
        <f>E30</f>
        <v>2852.5423053951818</v>
      </c>
      <c r="F31" s="130">
        <f>F30</f>
        <v>530.89123365850423</v>
      </c>
      <c r="G31" s="130">
        <f>G30</f>
        <v>729.98</v>
      </c>
      <c r="H31" s="130">
        <f>H30</f>
        <v>500</v>
      </c>
      <c r="I31" s="155">
        <f>I30</f>
        <v>587</v>
      </c>
    </row>
    <row r="32" spans="1:12" x14ac:dyDescent="0.2">
      <c r="C32" s="176"/>
      <c r="H32" s="175"/>
      <c r="I32" s="175"/>
    </row>
    <row r="34" spans="1:16" ht="15" x14ac:dyDescent="0.2">
      <c r="A34" s="195" t="s">
        <v>26</v>
      </c>
      <c r="B34" s="203"/>
      <c r="C34" s="203"/>
      <c r="D34" s="203"/>
      <c r="E34" s="203"/>
      <c r="F34" s="203"/>
      <c r="G34" s="203"/>
      <c r="H34" s="203"/>
      <c r="I34" s="203"/>
    </row>
    <row r="35" spans="1:16" ht="18" x14ac:dyDescent="0.2">
      <c r="A35" s="5"/>
      <c r="B35" s="5"/>
      <c r="C35" s="5"/>
      <c r="D35" s="5"/>
      <c r="E35" s="5"/>
      <c r="F35" s="5"/>
      <c r="G35" s="5"/>
      <c r="H35" s="6"/>
      <c r="I35" s="6"/>
    </row>
    <row r="36" spans="1:16" ht="25.5" x14ac:dyDescent="0.2">
      <c r="A36" s="23" t="s">
        <v>19</v>
      </c>
      <c r="B36" s="22" t="s">
        <v>20</v>
      </c>
      <c r="C36" s="22" t="s">
        <v>21</v>
      </c>
      <c r="D36" s="22" t="s">
        <v>27</v>
      </c>
      <c r="E36" s="22" t="s">
        <v>12</v>
      </c>
      <c r="F36" s="23" t="s">
        <v>13</v>
      </c>
      <c r="G36" s="23" t="s">
        <v>14</v>
      </c>
      <c r="H36" s="23" t="s">
        <v>15</v>
      </c>
      <c r="I36" s="23" t="s">
        <v>16</v>
      </c>
    </row>
    <row r="37" spans="1:16" ht="15.75" customHeight="1" x14ac:dyDescent="0.2">
      <c r="A37" s="13">
        <v>3</v>
      </c>
      <c r="B37" s="13"/>
      <c r="C37" s="13"/>
      <c r="D37" s="13" t="s">
        <v>28</v>
      </c>
      <c r="E37" s="49">
        <f>E38+E43+E48+E53+E58+E63+E68</f>
        <v>742819.13199283287</v>
      </c>
      <c r="F37" s="143">
        <f>F38+F43+F48+F53+F58+F63+F68</f>
        <v>950509.96084677149</v>
      </c>
      <c r="G37" s="143">
        <f>G38+G43+G48+G53+G58+G63+G68</f>
        <v>1016791.4400000001</v>
      </c>
      <c r="H37" s="143">
        <f t="shared" ref="H37:I37" si="1">H38+H43+H48+H53+H58+H63+H68</f>
        <v>1130244.83</v>
      </c>
      <c r="I37" s="143">
        <f t="shared" si="1"/>
        <v>1018499.32</v>
      </c>
    </row>
    <row r="38" spans="1:16" ht="15.75" customHeight="1" x14ac:dyDescent="0.2">
      <c r="A38" s="13"/>
      <c r="B38" s="17">
        <v>31</v>
      </c>
      <c r="C38" s="17"/>
      <c r="D38" s="17" t="s">
        <v>29</v>
      </c>
      <c r="E38" s="46">
        <f>1766913.17/7.5345</f>
        <v>234509.67814718958</v>
      </c>
      <c r="F38" s="130">
        <f>2376700.5/7.5345</f>
        <v>315442.3651204459</v>
      </c>
      <c r="G38" s="130">
        <f>25615.5+84716.97+9834.76+162120.91+9901.12+19802.24</f>
        <v>311991.5</v>
      </c>
      <c r="H38" s="130">
        <f>25600+85000+9835+147985.93</f>
        <v>268420.93</v>
      </c>
      <c r="I38" s="130">
        <f>25600+85000+9835+148118.65</f>
        <v>268553.65000000002</v>
      </c>
      <c r="K38" s="175"/>
    </row>
    <row r="39" spans="1:16" x14ac:dyDescent="0.2">
      <c r="A39" s="127"/>
      <c r="B39" s="127"/>
      <c r="C39" s="128" t="s">
        <v>204</v>
      </c>
      <c r="D39" s="129" t="s">
        <v>24</v>
      </c>
      <c r="E39" s="61">
        <f>E38-E41</f>
        <v>199015.09191054481</v>
      </c>
      <c r="F39" s="130">
        <f>2079965/7.5345-1473.22</f>
        <v>274585.57620412769</v>
      </c>
      <c r="G39" s="130">
        <f>25615.5+84716.97+9834.76+162120.91</f>
        <v>282288.14</v>
      </c>
      <c r="H39" s="130">
        <f>H38-H41</f>
        <v>229125.93</v>
      </c>
      <c r="I39" s="130">
        <f>I38-I41</f>
        <v>229253.65000000002</v>
      </c>
      <c r="K39" s="175"/>
      <c r="L39" s="175"/>
    </row>
    <row r="40" spans="1:16" x14ac:dyDescent="0.2">
      <c r="A40" s="127"/>
      <c r="B40" s="127"/>
      <c r="C40" s="128" t="s">
        <v>207</v>
      </c>
      <c r="D40" s="129" t="s">
        <v>208</v>
      </c>
      <c r="E40" s="61"/>
      <c r="F40" s="130"/>
      <c r="G40" s="130"/>
      <c r="H40" s="130"/>
      <c r="I40" s="130"/>
      <c r="K40" s="175"/>
      <c r="L40" s="175"/>
      <c r="M40" s="175"/>
      <c r="N40" s="175"/>
    </row>
    <row r="41" spans="1:16" x14ac:dyDescent="0.2">
      <c r="A41" s="127"/>
      <c r="B41" s="127"/>
      <c r="C41" s="128" t="s">
        <v>205</v>
      </c>
      <c r="D41" s="129" t="s">
        <v>206</v>
      </c>
      <c r="E41" s="61">
        <f>267433.96/7.5345</f>
        <v>35494.586236644769</v>
      </c>
      <c r="F41" s="130">
        <v>40856.79</v>
      </c>
      <c r="G41" s="130">
        <f>9901.12+19802.24</f>
        <v>29703.360000000001</v>
      </c>
      <c r="H41" s="130">
        <f>9835+29460</f>
        <v>39295</v>
      </c>
      <c r="I41" s="130">
        <f>9835+29465</f>
        <v>39300</v>
      </c>
      <c r="K41" s="175"/>
      <c r="L41" s="175"/>
      <c r="M41" s="175"/>
      <c r="N41" s="175"/>
    </row>
    <row r="42" spans="1:16" x14ac:dyDescent="0.2">
      <c r="A42" s="127"/>
      <c r="B42" s="127"/>
      <c r="C42" s="128"/>
      <c r="D42" s="129"/>
      <c r="E42" s="61"/>
      <c r="F42" s="130"/>
      <c r="G42" s="130"/>
      <c r="H42" s="130"/>
      <c r="I42" s="130"/>
      <c r="K42" s="175"/>
      <c r="L42" s="175"/>
      <c r="M42" s="175"/>
      <c r="P42" s="175">
        <f>N43+N40</f>
        <v>0</v>
      </c>
    </row>
    <row r="43" spans="1:16" x14ac:dyDescent="0.2">
      <c r="A43" s="127"/>
      <c r="B43" s="131">
        <v>32</v>
      </c>
      <c r="C43" s="131"/>
      <c r="D43" s="131" t="s">
        <v>44</v>
      </c>
      <c r="E43" s="61">
        <f>2713369.6/7.5345</f>
        <v>360126.03357887053</v>
      </c>
      <c r="F43" s="130">
        <f>3170266.8/7.5345</f>
        <v>420766.71311964956</v>
      </c>
      <c r="G43" s="130">
        <f>12608.66+4114.4+9290.59+107096.02+1327.23+19908.42+168956.14+8361.54+663.61+29199.02+9954.21+9821.49+9556.04+1327.23+6636.14+43426.9+132.72+132.72</f>
        <v>442513.07999999996</v>
      </c>
      <c r="H43" s="130">
        <f>13409+4145+9300+116368+1250+225000+168000+400+660+30000+10400+10000+9600+1330+39816.84</f>
        <v>639678.84</v>
      </c>
      <c r="I43" s="130">
        <f>13409+4145+20000+9300+97895+1250+10000+273018+400+660+30000+10400+10000+9600+1330+41144.07</f>
        <v>532551.06999999995</v>
      </c>
      <c r="K43" s="175"/>
      <c r="L43" s="175"/>
      <c r="M43" s="175"/>
      <c r="N43" s="175"/>
    </row>
    <row r="44" spans="1:16" x14ac:dyDescent="0.2">
      <c r="A44" s="127"/>
      <c r="B44" s="127"/>
      <c r="C44" s="128" t="s">
        <v>204</v>
      </c>
      <c r="D44" s="129" t="s">
        <v>24</v>
      </c>
      <c r="E44" s="61"/>
      <c r="F44" s="130">
        <f>2031116.8/7.5345</f>
        <v>269575.52591412835</v>
      </c>
      <c r="G44" s="130">
        <f>12608.66+4114.4+9290.59+107096.02+1327.23+19908.42+54098.96+530.89+16748.49+9954.21+9821.49+9556.04+1327.23+13962.43</f>
        <v>270345.06</v>
      </c>
      <c r="H44" s="130">
        <f>H43-H45-H46</f>
        <v>390155.27999999997</v>
      </c>
      <c r="I44" s="130">
        <f>I43-I45-I46</f>
        <v>368948.18</v>
      </c>
      <c r="K44" s="175"/>
      <c r="L44" s="175"/>
      <c r="M44" s="175"/>
      <c r="N44" s="175"/>
    </row>
    <row r="45" spans="1:16" x14ac:dyDescent="0.2">
      <c r="A45" s="127"/>
      <c r="B45" s="127"/>
      <c r="C45" s="128" t="s">
        <v>207</v>
      </c>
      <c r="D45" s="129" t="s">
        <v>208</v>
      </c>
      <c r="E45" s="61">
        <f>146682.46/7.5345</f>
        <v>19468.108036366048</v>
      </c>
      <c r="F45" s="130">
        <f>800500/7.5345</f>
        <v>106244.60813590814</v>
      </c>
      <c r="G45" s="130">
        <f>90468.17+10750.55+132.72+7905.97</f>
        <v>109257.41</v>
      </c>
      <c r="H45" s="130">
        <f>87172+400+132.72+8106.28</f>
        <v>95811</v>
      </c>
      <c r="I45" s="130">
        <f>97054+400+132.72+10000</f>
        <v>107586.72</v>
      </c>
      <c r="K45" s="144"/>
      <c r="L45" s="175"/>
      <c r="M45" s="175"/>
    </row>
    <row r="46" spans="1:16" x14ac:dyDescent="0.2">
      <c r="A46" s="127"/>
      <c r="B46" s="127"/>
      <c r="C46" s="128" t="s">
        <v>205</v>
      </c>
      <c r="D46" s="129" t="s">
        <v>206</v>
      </c>
      <c r="E46" s="61">
        <f>2945130.5/7.5345-50228.07</f>
        <v>340657.9211075718</v>
      </c>
      <c r="F46" s="130">
        <f>338650/7.5345</f>
        <v>44946.579069613108</v>
      </c>
      <c r="G46" s="130">
        <f>22000+4544.56+6636.14+29464.47+132.72+132.72</f>
        <v>62910.610000000008</v>
      </c>
      <c r="H46" s="130">
        <f>126544.56+22250+4918</f>
        <v>153712.56</v>
      </c>
      <c r="I46" s="130">
        <f>20000+10000+21016.17+5000</f>
        <v>56016.17</v>
      </c>
      <c r="L46" s="175"/>
    </row>
    <row r="47" spans="1:16" x14ac:dyDescent="0.2">
      <c r="A47" s="127"/>
      <c r="B47" s="127"/>
      <c r="C47" s="128"/>
      <c r="D47" s="129"/>
      <c r="E47" s="61"/>
      <c r="F47" s="130"/>
      <c r="G47" s="130"/>
      <c r="H47" s="130"/>
      <c r="I47" s="130"/>
      <c r="L47" s="175"/>
      <c r="M47" s="175"/>
    </row>
    <row r="48" spans="1:16" x14ac:dyDescent="0.2">
      <c r="A48" s="127"/>
      <c r="B48" s="127">
        <v>34</v>
      </c>
      <c r="C48" s="129"/>
      <c r="D48" s="129" t="s">
        <v>186</v>
      </c>
      <c r="E48" s="61">
        <f>28164.51/7.5345</f>
        <v>3738.0728648218192</v>
      </c>
      <c r="F48" s="130">
        <f>22550/7.5345</f>
        <v>2992.8993297498173</v>
      </c>
      <c r="G48" s="130">
        <f>2521.73+929.06</f>
        <v>3450.79</v>
      </c>
      <c r="H48" s="130">
        <f>2600+929.06</f>
        <v>3529.06</v>
      </c>
      <c r="I48" s="130">
        <f>2600+1028.6</f>
        <v>3628.6</v>
      </c>
      <c r="K48" s="175"/>
      <c r="L48" s="175"/>
      <c r="M48" s="175"/>
    </row>
    <row r="49" spans="1:13" x14ac:dyDescent="0.2">
      <c r="A49" s="127"/>
      <c r="B49" s="127"/>
      <c r="C49" s="128" t="s">
        <v>204</v>
      </c>
      <c r="D49" s="129" t="s">
        <v>24</v>
      </c>
      <c r="E49" s="61">
        <f>E48</f>
        <v>3738.0728648218192</v>
      </c>
      <c r="F49" s="130">
        <f>22550/7.5345</f>
        <v>2992.8993297498173</v>
      </c>
      <c r="G49" s="130">
        <f>2521.73+929.06</f>
        <v>3450.79</v>
      </c>
      <c r="H49" s="130">
        <v>3529.06</v>
      </c>
      <c r="I49" s="130">
        <f>I48</f>
        <v>3628.6</v>
      </c>
      <c r="K49" s="175"/>
      <c r="L49" s="175"/>
      <c r="M49" s="175"/>
    </row>
    <row r="50" spans="1:13" x14ac:dyDescent="0.2">
      <c r="A50" s="127"/>
      <c r="B50" s="127"/>
      <c r="C50" s="128" t="s">
        <v>207</v>
      </c>
      <c r="D50" s="129" t="s">
        <v>208</v>
      </c>
      <c r="E50" s="61"/>
      <c r="F50" s="130"/>
      <c r="G50" s="130"/>
      <c r="H50" s="130"/>
      <c r="I50" s="130"/>
      <c r="K50" s="175"/>
      <c r="L50" s="175"/>
      <c r="M50" s="175"/>
    </row>
    <row r="51" spans="1:13" x14ac:dyDescent="0.2">
      <c r="A51" s="127"/>
      <c r="B51" s="127"/>
      <c r="C51" s="128" t="s">
        <v>205</v>
      </c>
      <c r="D51" s="129" t="s">
        <v>206</v>
      </c>
      <c r="E51" s="61"/>
      <c r="F51" s="130"/>
      <c r="G51" s="130"/>
      <c r="H51" s="130"/>
      <c r="I51" s="130"/>
      <c r="L51" s="175"/>
      <c r="M51" s="175"/>
    </row>
    <row r="52" spans="1:13" x14ac:dyDescent="0.2">
      <c r="A52" s="127"/>
      <c r="B52" s="127"/>
      <c r="C52" s="128"/>
      <c r="D52" s="129"/>
      <c r="E52" s="61"/>
      <c r="F52" s="130"/>
      <c r="G52" s="130"/>
      <c r="H52" s="130"/>
      <c r="I52" s="130"/>
      <c r="K52" s="175"/>
      <c r="L52" s="175"/>
      <c r="M52" s="175"/>
    </row>
    <row r="53" spans="1:13" x14ac:dyDescent="0.2">
      <c r="A53" s="127"/>
      <c r="B53" s="127">
        <v>35</v>
      </c>
      <c r="C53" s="129"/>
      <c r="D53" s="129" t="s">
        <v>65</v>
      </c>
      <c r="E53" s="61">
        <f>116074.74/7.5345</f>
        <v>15405.765478797532</v>
      </c>
      <c r="F53" s="130">
        <f>188000/7.5345</f>
        <v>24951.887981949698</v>
      </c>
      <c r="G53" s="130">
        <f>19244.81+5308.91+398.17</f>
        <v>24951.89</v>
      </c>
      <c r="H53" s="130">
        <f>18814+5300+400</f>
        <v>24514</v>
      </c>
      <c r="I53" s="130">
        <f>18814+5300+400</f>
        <v>24514</v>
      </c>
      <c r="L53" s="175"/>
      <c r="M53" s="175"/>
    </row>
    <row r="54" spans="1:13" x14ac:dyDescent="0.2">
      <c r="A54" s="127"/>
      <c r="B54" s="127"/>
      <c r="C54" s="128" t="s">
        <v>204</v>
      </c>
      <c r="D54" s="129" t="s">
        <v>24</v>
      </c>
      <c r="E54" s="61">
        <f>E53</f>
        <v>15405.765478797532</v>
      </c>
      <c r="F54" s="130">
        <f>188000/7.5345</f>
        <v>24951.887981949698</v>
      </c>
      <c r="G54" s="130">
        <f>19244.81+5308.91+398.17</f>
        <v>24951.89</v>
      </c>
      <c r="H54" s="130">
        <v>24514</v>
      </c>
      <c r="I54" s="130">
        <f>I53</f>
        <v>24514</v>
      </c>
      <c r="L54" s="175"/>
      <c r="M54" s="175"/>
    </row>
    <row r="55" spans="1:13" x14ac:dyDescent="0.2">
      <c r="A55" s="127"/>
      <c r="B55" s="127"/>
      <c r="C55" s="128" t="s">
        <v>207</v>
      </c>
      <c r="D55" s="129" t="s">
        <v>208</v>
      </c>
      <c r="E55" s="61"/>
      <c r="F55" s="130"/>
      <c r="G55" s="130"/>
      <c r="H55" s="130"/>
      <c r="I55" s="130"/>
      <c r="L55" s="175"/>
      <c r="M55" s="175"/>
    </row>
    <row r="56" spans="1:13" x14ac:dyDescent="0.2">
      <c r="A56" s="127"/>
      <c r="B56" s="127"/>
      <c r="C56" s="128" t="s">
        <v>205</v>
      </c>
      <c r="D56" s="129" t="s">
        <v>206</v>
      </c>
      <c r="E56" s="61"/>
      <c r="F56" s="130"/>
      <c r="G56" s="130"/>
      <c r="H56" s="130"/>
      <c r="I56" s="130"/>
      <c r="L56" s="175"/>
      <c r="M56" s="175"/>
    </row>
    <row r="57" spans="1:13" x14ac:dyDescent="0.2">
      <c r="A57" s="127"/>
      <c r="B57" s="127"/>
      <c r="C57" s="128"/>
      <c r="D57" s="129"/>
      <c r="E57" s="61"/>
      <c r="F57" s="130"/>
      <c r="G57" s="130"/>
      <c r="H57" s="130"/>
      <c r="I57" s="130"/>
      <c r="L57" s="175"/>
      <c r="M57" s="175"/>
    </row>
    <row r="58" spans="1:13" ht="25.5" x14ac:dyDescent="0.2">
      <c r="A58" s="127"/>
      <c r="B58" s="127">
        <v>36</v>
      </c>
      <c r="C58" s="129"/>
      <c r="D58" s="132" t="s">
        <v>66</v>
      </c>
      <c r="E58" s="61">
        <f>261041.16/7.5345</f>
        <v>34646.115867011744</v>
      </c>
      <c r="F58" s="130">
        <f>407000/7.5345</f>
        <v>54018.183024752798</v>
      </c>
      <c r="G58" s="130">
        <f>26544.56+796.34+3185.34+1592.67+3981.69+14599.51+2654.46</f>
        <v>53354.570000000007</v>
      </c>
      <c r="H58" s="130">
        <f>20000+3186+1600+4000+17700+3849</f>
        <v>50335</v>
      </c>
      <c r="I58" s="130">
        <f>15000+3186+1600+4000+17700</f>
        <v>41486</v>
      </c>
      <c r="K58" s="175"/>
      <c r="L58" s="175"/>
      <c r="M58" s="175"/>
    </row>
    <row r="59" spans="1:13" x14ac:dyDescent="0.2">
      <c r="A59" s="127"/>
      <c r="B59" s="127"/>
      <c r="C59" s="128" t="s">
        <v>204</v>
      </c>
      <c r="D59" s="129" t="s">
        <v>24</v>
      </c>
      <c r="E59" s="61">
        <f>E58-E61</f>
        <v>21463.197292454708</v>
      </c>
      <c r="F59" s="130">
        <f>307000/7.5345</f>
        <v>40745.902183290193</v>
      </c>
      <c r="G59" s="130">
        <f>26544.56+796.34+3185.34+1592.67+3981.69+2654.46</f>
        <v>38755.060000000005</v>
      </c>
      <c r="H59" s="130">
        <f>H58-H61</f>
        <v>32635</v>
      </c>
      <c r="I59" s="130">
        <f>I58-I61</f>
        <v>23786</v>
      </c>
      <c r="K59" s="175"/>
      <c r="L59" s="175"/>
    </row>
    <row r="60" spans="1:13" x14ac:dyDescent="0.2">
      <c r="A60" s="127"/>
      <c r="B60" s="127"/>
      <c r="C60" s="128" t="s">
        <v>207</v>
      </c>
      <c r="D60" s="129" t="s">
        <v>208</v>
      </c>
      <c r="E60" s="61"/>
      <c r="F60" s="130"/>
      <c r="G60" s="130"/>
      <c r="H60" s="130"/>
      <c r="I60" s="130"/>
      <c r="K60" s="175"/>
      <c r="L60" s="175"/>
    </row>
    <row r="61" spans="1:13" x14ac:dyDescent="0.2">
      <c r="A61" s="127"/>
      <c r="B61" s="127"/>
      <c r="C61" s="128" t="s">
        <v>205</v>
      </c>
      <c r="D61" s="129" t="s">
        <v>206</v>
      </c>
      <c r="E61" s="61">
        <f>99326.7/7.5345</f>
        <v>13182.918574557036</v>
      </c>
      <c r="F61" s="130">
        <f>100000/7.5345</f>
        <v>13272.280841462605</v>
      </c>
      <c r="G61" s="130">
        <v>14599.51</v>
      </c>
      <c r="H61" s="130">
        <f>17700</f>
        <v>17700</v>
      </c>
      <c r="I61" s="130">
        <f>17700</f>
        <v>17700</v>
      </c>
      <c r="K61" s="175"/>
      <c r="L61" s="175"/>
    </row>
    <row r="62" spans="1:13" x14ac:dyDescent="0.2">
      <c r="A62" s="127"/>
      <c r="B62" s="127"/>
      <c r="C62" s="128"/>
      <c r="D62" s="129"/>
      <c r="E62" s="61"/>
      <c r="F62" s="130"/>
      <c r="G62" s="130"/>
      <c r="H62" s="130"/>
      <c r="I62" s="130"/>
    </row>
    <row r="63" spans="1:13" ht="38.25" x14ac:dyDescent="0.2">
      <c r="A63" s="127"/>
      <c r="B63" s="127">
        <v>37</v>
      </c>
      <c r="C63" s="129"/>
      <c r="D63" s="132" t="s">
        <v>67</v>
      </c>
      <c r="E63" s="61">
        <f>333213.16/7.5345</f>
        <v>44224.986395912129</v>
      </c>
      <c r="F63" s="130">
        <f>461900/7.5345</f>
        <v>61304.66520671577</v>
      </c>
      <c r="G63" s="130">
        <f>3318.07+11281.44+46851.15+1592.67</f>
        <v>63043.33</v>
      </c>
      <c r="H63" s="130">
        <f>4000+12000+46151+1600</f>
        <v>63751</v>
      </c>
      <c r="I63" s="130">
        <f>4000+12000+50000+1700</f>
        <v>67700</v>
      </c>
      <c r="L63" s="175"/>
      <c r="M63" s="175"/>
    </row>
    <row r="64" spans="1:13" x14ac:dyDescent="0.2">
      <c r="A64" s="127"/>
      <c r="B64" s="127"/>
      <c r="C64" s="128" t="s">
        <v>204</v>
      </c>
      <c r="D64" s="129" t="s">
        <v>24</v>
      </c>
      <c r="E64" s="61">
        <f>E63-E66</f>
        <v>42831.396907558556</v>
      </c>
      <c r="F64" s="130">
        <f>461900/7.5345</f>
        <v>61304.66520671577</v>
      </c>
      <c r="G64" s="130">
        <f>3318.07+11281.44+46851.15+1592.67</f>
        <v>63043.33</v>
      </c>
      <c r="H64" s="130">
        <v>63751</v>
      </c>
      <c r="I64" s="130">
        <f>I63</f>
        <v>67700</v>
      </c>
      <c r="L64" s="175"/>
      <c r="M64" s="175"/>
    </row>
    <row r="65" spans="1:13" x14ac:dyDescent="0.2">
      <c r="A65" s="127"/>
      <c r="B65" s="127"/>
      <c r="C65" s="128" t="s">
        <v>207</v>
      </c>
      <c r="D65" s="129" t="s">
        <v>208</v>
      </c>
      <c r="E65" s="61"/>
      <c r="F65" s="130"/>
      <c r="G65" s="130"/>
      <c r="H65" s="130"/>
      <c r="I65" s="130"/>
      <c r="L65" s="175"/>
      <c r="M65" s="175"/>
    </row>
    <row r="66" spans="1:13" x14ac:dyDescent="0.2">
      <c r="A66" s="127"/>
      <c r="B66" s="127"/>
      <c r="C66" s="128" t="s">
        <v>205</v>
      </c>
      <c r="D66" s="129" t="s">
        <v>206</v>
      </c>
      <c r="E66" s="61">
        <f>10500/7.5345</f>
        <v>1393.5894883535734</v>
      </c>
      <c r="F66" s="130"/>
      <c r="G66" s="130"/>
      <c r="H66" s="130"/>
      <c r="I66" s="130"/>
      <c r="L66" s="175"/>
      <c r="M66" s="175"/>
    </row>
    <row r="67" spans="1:13" x14ac:dyDescent="0.2">
      <c r="A67" s="127"/>
      <c r="B67" s="127"/>
      <c r="C67" s="128"/>
      <c r="D67" s="129"/>
      <c r="E67" s="61"/>
      <c r="F67" s="130"/>
      <c r="G67" s="130"/>
      <c r="H67" s="130"/>
      <c r="I67" s="130"/>
      <c r="L67" s="175"/>
      <c r="M67" s="175"/>
    </row>
    <row r="68" spans="1:13" x14ac:dyDescent="0.2">
      <c r="A68" s="127"/>
      <c r="B68" s="127">
        <v>38</v>
      </c>
      <c r="C68" s="129"/>
      <c r="D68" s="129" t="s">
        <v>68</v>
      </c>
      <c r="E68" s="61">
        <f>377994.41/7.5345</f>
        <v>50168.479660229605</v>
      </c>
      <c r="F68" s="130">
        <f>535200/7.5345</f>
        <v>71033.247063507864</v>
      </c>
      <c r="G68" s="130">
        <f>1990.9+1353.77+13272.28+2919.9+37162.39+3318.07+29199.02+663.61+4379.85+21899.26+1327.23</f>
        <v>117486.28</v>
      </c>
      <c r="H68" s="130">
        <f>1991+1355+13300+2900+38000+3400+2000+670+5000+10000+1400</f>
        <v>80016</v>
      </c>
      <c r="I68" s="130">
        <f>1991+1355+13300+3000+38000+3350+2000+670+5000+10000+1400</f>
        <v>80066</v>
      </c>
    </row>
    <row r="69" spans="1:13" x14ac:dyDescent="0.2">
      <c r="A69" s="127"/>
      <c r="B69" s="127"/>
      <c r="C69" s="128" t="s">
        <v>204</v>
      </c>
      <c r="D69" s="129" t="s">
        <v>24</v>
      </c>
      <c r="E69" s="61">
        <f>E68</f>
        <v>50168.479660229605</v>
      </c>
      <c r="F69" s="130">
        <f>535200/7.5345</f>
        <v>71033.247063507864</v>
      </c>
      <c r="G69" s="130">
        <f>1990.9+1535.77+13272.28+2919.9+37162.39+3318.07+29199.02+663.61+4379.85+21899.26+1127.23+18</f>
        <v>117486.28</v>
      </c>
      <c r="H69" s="130">
        <v>80016</v>
      </c>
      <c r="I69" s="130">
        <f>I68</f>
        <v>80066</v>
      </c>
      <c r="L69" s="137"/>
      <c r="M69" s="138"/>
    </row>
    <row r="70" spans="1:13" x14ac:dyDescent="0.2">
      <c r="A70" s="127"/>
      <c r="B70" s="127"/>
      <c r="C70" s="128" t="s">
        <v>207</v>
      </c>
      <c r="D70" s="129" t="s">
        <v>208</v>
      </c>
      <c r="E70" s="61"/>
      <c r="F70" s="61"/>
      <c r="G70" s="61"/>
      <c r="H70" s="61"/>
      <c r="I70" s="61"/>
      <c r="L70" s="137"/>
      <c r="M70" s="138"/>
    </row>
    <row r="71" spans="1:13" x14ac:dyDescent="0.2">
      <c r="A71" s="127"/>
      <c r="B71" s="127"/>
      <c r="C71" s="128" t="s">
        <v>205</v>
      </c>
      <c r="D71" s="129" t="s">
        <v>206</v>
      </c>
      <c r="E71" s="61"/>
      <c r="F71" s="61"/>
      <c r="G71" s="61"/>
      <c r="H71" s="61"/>
      <c r="I71" s="61"/>
      <c r="L71" s="137"/>
      <c r="M71" s="138"/>
    </row>
    <row r="72" spans="1:13" x14ac:dyDescent="0.2">
      <c r="A72" s="127"/>
      <c r="B72" s="127"/>
      <c r="C72" s="128"/>
      <c r="D72" s="129"/>
      <c r="E72" s="61"/>
      <c r="F72" s="61"/>
      <c r="G72" s="61"/>
      <c r="H72" s="61"/>
      <c r="I72" s="61"/>
      <c r="L72" s="137"/>
      <c r="M72" s="138"/>
    </row>
    <row r="73" spans="1:13" ht="25.5" x14ac:dyDescent="0.2">
      <c r="A73" s="133">
        <v>4</v>
      </c>
      <c r="B73" s="133"/>
      <c r="C73" s="133"/>
      <c r="D73" s="134" t="s">
        <v>30</v>
      </c>
      <c r="E73" s="143">
        <f>E79+E84+E74</f>
        <v>1032984.6134448205</v>
      </c>
      <c r="F73" s="143">
        <f>F79+F84+F74</f>
        <v>683469.37421195826</v>
      </c>
      <c r="G73" s="143">
        <f>G79+G84+G74</f>
        <v>555843.11</v>
      </c>
      <c r="H73" s="143">
        <f>H79+H84+H74</f>
        <v>388455.17</v>
      </c>
      <c r="I73" s="143">
        <f>I79+I84+I74</f>
        <v>512337.68</v>
      </c>
      <c r="K73" s="175"/>
      <c r="L73" s="137"/>
      <c r="M73" s="138"/>
    </row>
    <row r="74" spans="1:13" ht="38.25" x14ac:dyDescent="0.2">
      <c r="A74" s="133"/>
      <c r="B74" s="135">
        <v>41</v>
      </c>
      <c r="C74" s="133"/>
      <c r="D74" s="136" t="s">
        <v>31</v>
      </c>
      <c r="E74" s="143"/>
      <c r="F74" s="61">
        <f>90000/7.5345</f>
        <v>11945.052757316344</v>
      </c>
      <c r="G74" s="143">
        <f>6636.14</f>
        <v>6636.14</v>
      </c>
      <c r="H74" s="143"/>
      <c r="I74" s="143">
        <f>18000</f>
        <v>18000</v>
      </c>
      <c r="L74" s="137"/>
      <c r="M74" s="138"/>
    </row>
    <row r="75" spans="1:13" x14ac:dyDescent="0.2">
      <c r="A75" s="133"/>
      <c r="B75" s="135"/>
      <c r="C75" s="128" t="s">
        <v>204</v>
      </c>
      <c r="D75" s="129" t="s">
        <v>24</v>
      </c>
      <c r="E75" s="143"/>
      <c r="F75" s="61">
        <f>90000/7.5345</f>
        <v>11945.052757316344</v>
      </c>
      <c r="G75" s="61">
        <f>6636.14</f>
        <v>6636.14</v>
      </c>
      <c r="H75" s="143"/>
      <c r="I75" s="61">
        <f>I74</f>
        <v>18000</v>
      </c>
      <c r="L75" s="137"/>
      <c r="M75" s="138"/>
    </row>
    <row r="76" spans="1:13" x14ac:dyDescent="0.2">
      <c r="A76" s="133"/>
      <c r="B76" s="135"/>
      <c r="C76" s="128" t="s">
        <v>207</v>
      </c>
      <c r="D76" s="129" t="s">
        <v>208</v>
      </c>
      <c r="E76" s="143"/>
      <c r="F76" s="61"/>
      <c r="G76" s="143"/>
      <c r="H76" s="143"/>
      <c r="I76" s="143"/>
      <c r="L76" s="137"/>
      <c r="M76" s="138"/>
    </row>
    <row r="77" spans="1:13" x14ac:dyDescent="0.2">
      <c r="A77" s="133"/>
      <c r="B77" s="133"/>
      <c r="C77" s="128" t="s">
        <v>205</v>
      </c>
      <c r="D77" s="129" t="s">
        <v>206</v>
      </c>
      <c r="E77" s="143"/>
      <c r="F77" s="143"/>
      <c r="G77" s="143"/>
      <c r="H77" s="143"/>
      <c r="I77" s="143"/>
      <c r="L77" s="175"/>
    </row>
    <row r="78" spans="1:13" x14ac:dyDescent="0.2">
      <c r="A78" s="133"/>
      <c r="B78" s="133"/>
      <c r="C78" s="128"/>
      <c r="D78" s="129"/>
      <c r="E78" s="143"/>
      <c r="F78" s="143"/>
      <c r="G78" s="143"/>
      <c r="H78" s="143"/>
      <c r="I78" s="143"/>
      <c r="L78" s="175"/>
    </row>
    <row r="79" spans="1:13" ht="38.25" x14ac:dyDescent="0.2">
      <c r="A79" s="17"/>
      <c r="B79" s="17">
        <v>42</v>
      </c>
      <c r="C79" s="17"/>
      <c r="D79" s="36" t="s">
        <v>53</v>
      </c>
      <c r="E79" s="61">
        <f>7019271.22/7.5345</f>
        <v>931617.38934235845</v>
      </c>
      <c r="F79" s="130">
        <f>4294600/7.5345</f>
        <v>569991.37301745301</v>
      </c>
      <c r="G79" s="130">
        <f>39816.84+10617.82+42471.3+30526.25+66361.4+42471.3+26544.56+19908.42+132722.81+2389.01+5972.53</f>
        <v>419802.24</v>
      </c>
      <c r="H79" s="130">
        <f>1650+34310+3810+332487+800+15000+398.17</f>
        <v>388455.17</v>
      </c>
      <c r="I79" s="155">
        <f>5000+8151+471023.07+1500+8000+663.61</f>
        <v>494337.68</v>
      </c>
      <c r="L79" s="175"/>
    </row>
    <row r="80" spans="1:13" x14ac:dyDescent="0.2">
      <c r="A80" s="17"/>
      <c r="B80" s="17"/>
      <c r="C80" s="128" t="s">
        <v>204</v>
      </c>
      <c r="D80" s="129" t="s">
        <v>24</v>
      </c>
      <c r="E80" s="61">
        <f>E79-E81-E82</f>
        <v>177396.27534474747</v>
      </c>
      <c r="F80" s="130">
        <f>2253500/7.5345-235301.61</f>
        <v>63789.238762359833</v>
      </c>
      <c r="G80" s="130">
        <f>32636.51+10617.82+42471.3+11945.06+1054.95+26544.56+5972.53+19908.42+2389.01</f>
        <v>153540.16000000003</v>
      </c>
      <c r="H80" s="130">
        <f>H79-H81-H82</f>
        <v>214162.72999999998</v>
      </c>
      <c r="I80" s="155">
        <f>I79-I81-I82</f>
        <v>217341.39999999997</v>
      </c>
    </row>
    <row r="81" spans="1:12" x14ac:dyDescent="0.2">
      <c r="A81" s="17"/>
      <c r="B81" s="17"/>
      <c r="C81" s="128" t="s">
        <v>207</v>
      </c>
      <c r="D81" s="129" t="s">
        <v>208</v>
      </c>
      <c r="E81" s="61">
        <f>666442.93/7.5345</f>
        <v>88452.177317672045</v>
      </c>
      <c r="F81" s="130">
        <f>183100/7.5345</f>
        <v>24301.546220718028</v>
      </c>
      <c r="G81" s="130">
        <f>1599.51</f>
        <v>1599.51</v>
      </c>
      <c r="H81" s="130">
        <f>30000</f>
        <v>30000</v>
      </c>
      <c r="I81" s="155">
        <f>15267.28</f>
        <v>15267.28</v>
      </c>
      <c r="L81" s="175"/>
    </row>
    <row r="82" spans="1:12" x14ac:dyDescent="0.2">
      <c r="A82" s="131"/>
      <c r="B82" s="131"/>
      <c r="C82" s="128" t="s">
        <v>205</v>
      </c>
      <c r="D82" s="129" t="s">
        <v>206</v>
      </c>
      <c r="E82" s="61">
        <f>4637792.66/7.5345+50228.07</f>
        <v>665768.93667993892</v>
      </c>
      <c r="F82" s="130">
        <f>1858000/7.5345+235301.61</f>
        <v>481900.58803437522</v>
      </c>
      <c r="G82" s="130">
        <f>18581.19+66361.4+39816.84+132722.81+7180.33</f>
        <v>264662.57</v>
      </c>
      <c r="H82" s="130">
        <f>102292.44+15000+27000</f>
        <v>144292.44</v>
      </c>
      <c r="I82" s="155">
        <f>5000+248729+8000</f>
        <v>261729</v>
      </c>
    </row>
    <row r="83" spans="1:12" x14ac:dyDescent="0.2">
      <c r="A83" s="131"/>
      <c r="B83" s="131"/>
      <c r="C83" s="128"/>
      <c r="D83" s="129"/>
      <c r="E83" s="61"/>
      <c r="F83" s="130"/>
      <c r="G83" s="130"/>
      <c r="H83" s="130"/>
      <c r="I83" s="130"/>
    </row>
    <row r="84" spans="1:12" ht="25.5" x14ac:dyDescent="0.2">
      <c r="A84" s="17"/>
      <c r="B84" s="17">
        <v>45</v>
      </c>
      <c r="C84" s="17"/>
      <c r="D84" s="36" t="s">
        <v>69</v>
      </c>
      <c r="E84" s="61">
        <f>763751.35/7.5345</f>
        <v>101367.224102462</v>
      </c>
      <c r="F84" s="130">
        <f>765000/7.5345</f>
        <v>101532.94843718893</v>
      </c>
      <c r="G84" s="130">
        <f>39816.84+16590.35+19908.42+39816.84+13272.28</f>
        <v>129404.72999999998</v>
      </c>
      <c r="H84" s="130"/>
      <c r="I84" s="155"/>
    </row>
    <row r="85" spans="1:12" x14ac:dyDescent="0.2">
      <c r="A85" s="131"/>
      <c r="B85" s="131"/>
      <c r="C85" s="128" t="s">
        <v>204</v>
      </c>
      <c r="D85" s="129" t="s">
        <v>24</v>
      </c>
      <c r="E85" s="61">
        <f>E84-E87</f>
        <v>48785.035503351246</v>
      </c>
      <c r="F85" s="130">
        <f>620000/7.5345</f>
        <v>82288.141217068143</v>
      </c>
      <c r="G85" s="130">
        <f>272.28+4645.3-1327.23+12608.67+39816.84</f>
        <v>56015.86</v>
      </c>
      <c r="H85" s="130"/>
      <c r="I85" s="155"/>
    </row>
    <row r="86" spans="1:12" ht="23.25" x14ac:dyDescent="0.35">
      <c r="A86" s="177"/>
      <c r="B86" s="177"/>
      <c r="C86" s="128" t="s">
        <v>207</v>
      </c>
      <c r="D86" s="129" t="s">
        <v>208</v>
      </c>
      <c r="E86" s="180"/>
      <c r="F86" s="180"/>
      <c r="G86" s="180">
        <f>13000</f>
        <v>13000</v>
      </c>
      <c r="H86" s="178"/>
      <c r="I86" s="178"/>
      <c r="K86" s="179"/>
    </row>
    <row r="87" spans="1:12" x14ac:dyDescent="0.2">
      <c r="A87" s="177"/>
      <c r="B87" s="177"/>
      <c r="C87" s="128" t="s">
        <v>205</v>
      </c>
      <c r="D87" s="129" t="s">
        <v>206</v>
      </c>
      <c r="E87" s="180">
        <f>396180.5/7.5345</f>
        <v>52582.188599110756</v>
      </c>
      <c r="F87" s="180">
        <f>145000/7.5345</f>
        <v>19244.807220120776</v>
      </c>
      <c r="G87" s="180">
        <f>26544.56+13272.28+7299.75+13272.28</f>
        <v>60388.87</v>
      </c>
      <c r="H87" s="178"/>
      <c r="I87" s="178"/>
    </row>
    <row r="88" spans="1:12" x14ac:dyDescent="0.2">
      <c r="F88" s="181"/>
      <c r="G88" s="152"/>
      <c r="H88" s="175"/>
      <c r="I88" s="175"/>
    </row>
    <row r="89" spans="1:12" x14ac:dyDescent="0.2">
      <c r="F89" s="175"/>
      <c r="G89" s="175"/>
      <c r="H89" s="175"/>
      <c r="I89" s="175"/>
    </row>
    <row r="90" spans="1:12" x14ac:dyDescent="0.2">
      <c r="F90" s="175"/>
      <c r="G90" s="175"/>
    </row>
    <row r="91" spans="1:12" x14ac:dyDescent="0.2">
      <c r="F91" s="175"/>
      <c r="G91" s="175"/>
      <c r="H91" s="175"/>
      <c r="I91" s="175"/>
    </row>
    <row r="92" spans="1:12" x14ac:dyDescent="0.2">
      <c r="F92" s="175"/>
      <c r="G92" s="175"/>
    </row>
    <row r="93" spans="1:12" x14ac:dyDescent="0.2">
      <c r="F93" s="175"/>
      <c r="G93" s="175"/>
      <c r="I93" s="175"/>
    </row>
    <row r="94" spans="1:12" x14ac:dyDescent="0.2">
      <c r="F94" s="175"/>
      <c r="G94" s="175"/>
      <c r="H94" s="175"/>
    </row>
  </sheetData>
  <mergeCells count="5">
    <mergeCell ref="A7:I7"/>
    <mergeCell ref="A34:I34"/>
    <mergeCell ref="A3:I3"/>
    <mergeCell ref="A5:I5"/>
    <mergeCell ref="A1:I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workbookViewId="0">
      <selection activeCell="C39" sqref="C39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2" ht="42" customHeight="1" x14ac:dyDescent="0.25">
      <c r="A1" s="195" t="s">
        <v>60</v>
      </c>
      <c r="B1" s="195"/>
      <c r="C1" s="195"/>
      <c r="D1" s="195"/>
      <c r="E1" s="195"/>
      <c r="F1" s="195"/>
      <c r="G1" s="37"/>
      <c r="H1" s="37"/>
      <c r="I1" s="37"/>
      <c r="J1" s="37"/>
      <c r="K1" s="37"/>
      <c r="L1" s="37"/>
    </row>
    <row r="2" spans="1:12" ht="18" customHeight="1" x14ac:dyDescent="0.25">
      <c r="A2" s="5"/>
      <c r="B2" s="5"/>
      <c r="C2" s="5"/>
      <c r="D2" s="5"/>
      <c r="E2" s="5"/>
      <c r="F2" s="5"/>
    </row>
    <row r="3" spans="1:12" ht="15.75" x14ac:dyDescent="0.25">
      <c r="A3" s="195" t="s">
        <v>41</v>
      </c>
      <c r="B3" s="195"/>
      <c r="C3" s="195"/>
      <c r="D3" s="195"/>
      <c r="E3" s="200"/>
      <c r="F3" s="200"/>
    </row>
    <row r="4" spans="1:12" ht="18" x14ac:dyDescent="0.25">
      <c r="A4" s="5"/>
      <c r="B4" s="5"/>
      <c r="C4" s="5"/>
      <c r="D4" s="5"/>
      <c r="E4" s="6"/>
      <c r="F4" s="6"/>
    </row>
    <row r="5" spans="1:12" ht="18" customHeight="1" x14ac:dyDescent="0.25">
      <c r="A5" s="195" t="s">
        <v>18</v>
      </c>
      <c r="B5" s="196"/>
      <c r="C5" s="196"/>
      <c r="D5" s="196"/>
      <c r="E5" s="196"/>
      <c r="F5" s="196"/>
    </row>
    <row r="6" spans="1:12" ht="18" x14ac:dyDescent="0.25">
      <c r="A6" s="5"/>
      <c r="B6" s="5"/>
      <c r="C6" s="5"/>
      <c r="D6" s="5"/>
      <c r="E6" s="6"/>
      <c r="F6" s="6"/>
    </row>
    <row r="7" spans="1:12" ht="15.75" x14ac:dyDescent="0.25">
      <c r="A7" s="195" t="s">
        <v>32</v>
      </c>
      <c r="B7" s="205"/>
      <c r="C7" s="205"/>
      <c r="D7" s="205"/>
      <c r="E7" s="205"/>
      <c r="F7" s="205"/>
    </row>
    <row r="8" spans="1:12" ht="18" x14ac:dyDescent="0.25">
      <c r="A8" s="5"/>
      <c r="B8" s="5"/>
      <c r="C8" s="5"/>
      <c r="D8" s="5"/>
      <c r="E8" s="6"/>
      <c r="F8" s="6"/>
    </row>
    <row r="9" spans="1:12" ht="25.5" x14ac:dyDescent="0.25">
      <c r="A9" s="23" t="s">
        <v>33</v>
      </c>
      <c r="B9" s="22" t="s">
        <v>12</v>
      </c>
      <c r="C9" s="23" t="s">
        <v>13</v>
      </c>
      <c r="D9" s="23" t="s">
        <v>14</v>
      </c>
      <c r="E9" s="23" t="s">
        <v>15</v>
      </c>
      <c r="F9" s="23" t="s">
        <v>16</v>
      </c>
    </row>
    <row r="10" spans="1:12" ht="15.75" customHeight="1" x14ac:dyDescent="0.25">
      <c r="A10" s="13" t="s">
        <v>34</v>
      </c>
      <c r="B10" s="49">
        <f>B11+B13+B12+B14+B15+B16+B18+B19+B24</f>
        <v>1775803.7454376535</v>
      </c>
      <c r="C10" s="49">
        <f>C11+C13+C12+C14+C15+C16+C18+C19+C24+C17</f>
        <v>1633979.3350587296</v>
      </c>
      <c r="D10" s="143">
        <f t="shared" ref="D10:F10" si="0">D11+D13+D12+D14+D15+D16+D18+D19+D24+D17</f>
        <v>1572634.55</v>
      </c>
      <c r="E10" s="143">
        <f t="shared" si="0"/>
        <v>1518700</v>
      </c>
      <c r="F10" s="143">
        <f t="shared" si="0"/>
        <v>1530836.9999999998</v>
      </c>
    </row>
    <row r="11" spans="1:12" ht="15.75" customHeight="1" x14ac:dyDescent="0.25">
      <c r="A11" s="13" t="s">
        <v>35</v>
      </c>
      <c r="B11" s="46">
        <f>1736708.35/7.5345</f>
        <v>230500.80960913133</v>
      </c>
      <c r="C11" s="47">
        <f>2535996.8/7.5345</f>
        <v>336584.61742650473</v>
      </c>
      <c r="D11" s="130">
        <f>54973.82+289908.41+1327.23+19908.42</f>
        <v>366117.87999999995</v>
      </c>
      <c r="E11" s="130">
        <f>55800+274823+1400+225000</f>
        <v>557023</v>
      </c>
      <c r="F11" s="130">
        <f>75800+242731+10000</f>
        <v>328531</v>
      </c>
    </row>
    <row r="12" spans="1:12" ht="15.75" customHeight="1" x14ac:dyDescent="0.25">
      <c r="A12" s="13" t="s">
        <v>76</v>
      </c>
      <c r="B12" s="46"/>
      <c r="C12" s="47"/>
      <c r="D12" s="130"/>
      <c r="E12" s="130"/>
      <c r="F12" s="130"/>
    </row>
    <row r="13" spans="1:12" x14ac:dyDescent="0.25">
      <c r="A13" s="13" t="s">
        <v>73</v>
      </c>
      <c r="B13" s="46">
        <f>227209.07/7.5345</f>
        <v>30155.825867675358</v>
      </c>
      <c r="C13" s="47">
        <f>232000/7.5345</f>
        <v>30791.691552193242</v>
      </c>
      <c r="D13" s="130">
        <v>30791.69</v>
      </c>
      <c r="E13" s="130">
        <v>33900</v>
      </c>
      <c r="F13" s="155">
        <v>34000</v>
      </c>
    </row>
    <row r="14" spans="1:12" x14ac:dyDescent="0.25">
      <c r="A14" s="51" t="s">
        <v>36</v>
      </c>
      <c r="B14" s="46">
        <f>140074.74/7.5345</f>
        <v>18591.112880748555</v>
      </c>
      <c r="C14" s="47">
        <f>209000/7.5345</f>
        <v>27739.066958656844</v>
      </c>
      <c r="D14" s="130">
        <f>27739.06</f>
        <v>27739.06</v>
      </c>
      <c r="E14" s="130">
        <f>27300</f>
        <v>27300</v>
      </c>
      <c r="F14" s="155">
        <f>27300</f>
        <v>27300</v>
      </c>
    </row>
    <row r="15" spans="1:12" x14ac:dyDescent="0.25">
      <c r="A15" s="13" t="s">
        <v>74</v>
      </c>
      <c r="B15" s="52">
        <f>6005707.64/7.5345</f>
        <v>797094.38449797593</v>
      </c>
      <c r="C15" s="52">
        <f>2119400/7.5345</f>
        <v>281292.72015395842</v>
      </c>
      <c r="D15" s="52">
        <f>27340.9+9954.21</f>
        <v>37295.11</v>
      </c>
      <c r="E15" s="52">
        <f>22800+10000</f>
        <v>32800</v>
      </c>
      <c r="F15" s="52">
        <f>23500+10000</f>
        <v>33500</v>
      </c>
    </row>
    <row r="16" spans="1:12" ht="25.5" x14ac:dyDescent="0.25">
      <c r="A16" s="13" t="s">
        <v>75</v>
      </c>
      <c r="B16" s="52">
        <f>2594498.56/7.5345</f>
        <v>344349.13531090319</v>
      </c>
      <c r="C16" s="52">
        <f>3819100/7.5345</f>
        <v>506881.67761629832</v>
      </c>
      <c r="D16" s="52">
        <f>762757.98-27340.9-9954.21-152631.23-19908.42</f>
        <v>552923.22</v>
      </c>
      <c r="E16" s="52">
        <f>784807-22800-10000-15000+20870-225000</f>
        <v>532877</v>
      </c>
      <c r="F16" s="52">
        <f>805886-23500-10000-8000+22045.07-10000</f>
        <v>776431.07</v>
      </c>
    </row>
    <row r="17" spans="1:6" x14ac:dyDescent="0.25">
      <c r="A17" s="13" t="s">
        <v>77</v>
      </c>
      <c r="B17" s="52"/>
      <c r="C17" s="52">
        <f>75000/7.5345</f>
        <v>9954.2106310969539</v>
      </c>
      <c r="D17" s="52">
        <v>21899.26</v>
      </c>
      <c r="E17" s="52">
        <v>10000</v>
      </c>
      <c r="F17" s="52">
        <v>10000</v>
      </c>
    </row>
    <row r="18" spans="1:6" x14ac:dyDescent="0.25">
      <c r="A18" s="13" t="s">
        <v>78</v>
      </c>
      <c r="B18" s="52">
        <f>997524.25/7.5345</f>
        <v>132394.21992169353</v>
      </c>
      <c r="C18" s="52">
        <f>1007800/7.5345</f>
        <v>133758.04632026012</v>
      </c>
      <c r="D18" s="52">
        <f>152631.23+70343.09</f>
        <v>222974.32</v>
      </c>
      <c r="E18" s="52">
        <f>15000+44070</f>
        <v>59070</v>
      </c>
      <c r="F18" s="52">
        <f>8000+44020</f>
        <v>52020</v>
      </c>
    </row>
    <row r="19" spans="1:6" x14ac:dyDescent="0.25">
      <c r="A19" s="13" t="s">
        <v>79</v>
      </c>
      <c r="B19" s="52">
        <f>1220372.2/7.5345</f>
        <v>161971.22569513568</v>
      </c>
      <c r="C19" s="52">
        <f>C20+C21+C22+C23</f>
        <v>209281.96960647689</v>
      </c>
      <c r="D19" s="52">
        <f t="shared" ref="D19:F19" si="1">D20+D21+D22+D23</f>
        <v>227447.08000000002</v>
      </c>
      <c r="E19" s="52">
        <f t="shared" si="1"/>
        <v>209130</v>
      </c>
      <c r="F19" s="52">
        <f t="shared" si="1"/>
        <v>210954.93</v>
      </c>
    </row>
    <row r="20" spans="1:6" x14ac:dyDescent="0.25">
      <c r="A20" s="17" t="s">
        <v>80</v>
      </c>
      <c r="B20" s="52">
        <f>1135582.2/7.5345</f>
        <v>150717.65876965955</v>
      </c>
      <c r="C20" s="52">
        <f>1461835/7.5345</f>
        <v>194018.84663879487</v>
      </c>
      <c r="D20" s="52">
        <v>208865.88</v>
      </c>
      <c r="E20" s="52">
        <v>189130</v>
      </c>
      <c r="F20" s="52">
        <v>190954.93</v>
      </c>
    </row>
    <row r="21" spans="1:6" x14ac:dyDescent="0.25">
      <c r="A21" s="53" t="s">
        <v>81</v>
      </c>
      <c r="B21" s="52">
        <f>25540/7.5345</f>
        <v>3389.7405269095493</v>
      </c>
      <c r="C21" s="52">
        <f>40000/7.5345</f>
        <v>5308.9123365850419</v>
      </c>
      <c r="D21" s="52">
        <v>3981.69</v>
      </c>
      <c r="E21" s="52">
        <v>4000</v>
      </c>
      <c r="F21" s="52">
        <v>4000</v>
      </c>
    </row>
    <row r="22" spans="1:6" x14ac:dyDescent="0.25">
      <c r="A22" s="17" t="s">
        <v>82</v>
      </c>
      <c r="B22" s="52">
        <f>20250/7.5345</f>
        <v>2687.6368703961775</v>
      </c>
      <c r="C22" s="52">
        <f>35000/7.5345</f>
        <v>4645.298294511912</v>
      </c>
      <c r="D22" s="52">
        <v>3318.07</v>
      </c>
      <c r="E22" s="52">
        <v>4000</v>
      </c>
      <c r="F22" s="52">
        <v>4000</v>
      </c>
    </row>
    <row r="23" spans="1:6" x14ac:dyDescent="0.25">
      <c r="A23" s="17" t="s">
        <v>83</v>
      </c>
      <c r="B23" s="52">
        <f>39000/7.5345</f>
        <v>5176.1895281704155</v>
      </c>
      <c r="C23" s="52">
        <f>40000/7.5345</f>
        <v>5308.9123365850419</v>
      </c>
      <c r="D23" s="52">
        <v>11281.44</v>
      </c>
      <c r="E23" s="52">
        <v>12000</v>
      </c>
      <c r="F23" s="52">
        <v>12000</v>
      </c>
    </row>
    <row r="24" spans="1:6" x14ac:dyDescent="0.25">
      <c r="A24" s="13" t="s">
        <v>84</v>
      </c>
      <c r="B24" s="52">
        <f>457698.51/7.5345</f>
        <v>60747.031654389808</v>
      </c>
      <c r="C24" s="52">
        <f>736085.5/7.5345</f>
        <v>97695.334793284215</v>
      </c>
      <c r="D24" s="52">
        <f>107346.19-21899.26</f>
        <v>85446.930000000008</v>
      </c>
      <c r="E24" s="52">
        <f>66600-10000</f>
        <v>56600</v>
      </c>
      <c r="F24" s="52">
        <f>66700-10000+1400</f>
        <v>58100</v>
      </c>
    </row>
    <row r="25" spans="1:6" x14ac:dyDescent="0.25">
      <c r="B25" s="40"/>
      <c r="C25" s="40"/>
      <c r="D25" s="40"/>
      <c r="E25" s="40"/>
      <c r="F25" s="40"/>
    </row>
    <row r="26" spans="1:6" x14ac:dyDescent="0.25">
      <c r="B26" s="40"/>
      <c r="C26" s="40"/>
      <c r="D26" s="40"/>
      <c r="E26" s="40"/>
      <c r="F26" s="40"/>
    </row>
    <row r="27" spans="1:6" x14ac:dyDescent="0.25">
      <c r="B27" s="40"/>
      <c r="C27" s="40"/>
      <c r="D27" s="40"/>
      <c r="E27" s="40"/>
      <c r="F27" s="40"/>
    </row>
    <row r="28" spans="1:6" x14ac:dyDescent="0.25">
      <c r="B28" s="40"/>
      <c r="C28" s="40"/>
      <c r="D28" s="144"/>
      <c r="E28" s="40"/>
      <c r="F28" s="40"/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4"/>
  <sheetViews>
    <sheetView workbookViewId="0">
      <selection activeCell="F19" sqref="F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2" ht="42" customHeight="1" x14ac:dyDescent="0.25">
      <c r="A1" s="195" t="s">
        <v>60</v>
      </c>
      <c r="B1" s="195"/>
      <c r="C1" s="195"/>
      <c r="D1" s="195"/>
      <c r="E1" s="195"/>
      <c r="F1" s="195"/>
      <c r="G1" s="195"/>
      <c r="H1" s="195"/>
      <c r="I1" s="195"/>
      <c r="J1" s="37"/>
      <c r="K1" s="37"/>
      <c r="L1" s="37"/>
    </row>
    <row r="2" spans="1:12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2" ht="15.75" x14ac:dyDescent="0.25">
      <c r="A3" s="195" t="s">
        <v>41</v>
      </c>
      <c r="B3" s="195"/>
      <c r="C3" s="195"/>
      <c r="D3" s="195"/>
      <c r="E3" s="195"/>
      <c r="F3" s="195"/>
      <c r="G3" s="195"/>
      <c r="H3" s="200"/>
      <c r="I3" s="200"/>
    </row>
    <row r="4" spans="1:12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2" ht="18" customHeight="1" x14ac:dyDescent="0.25">
      <c r="A5" s="195" t="s">
        <v>37</v>
      </c>
      <c r="B5" s="196"/>
      <c r="C5" s="196"/>
      <c r="D5" s="196"/>
      <c r="E5" s="196"/>
      <c r="F5" s="196"/>
      <c r="G5" s="196"/>
      <c r="H5" s="196"/>
      <c r="I5" s="196"/>
    </row>
    <row r="6" spans="1:12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2" ht="25.5" x14ac:dyDescent="0.25">
      <c r="A7" s="23" t="s">
        <v>19</v>
      </c>
      <c r="B7" s="22" t="s">
        <v>20</v>
      </c>
      <c r="C7" s="22" t="s">
        <v>21</v>
      </c>
      <c r="D7" s="22" t="s">
        <v>56</v>
      </c>
      <c r="E7" s="22" t="s">
        <v>12</v>
      </c>
      <c r="F7" s="23" t="s">
        <v>13</v>
      </c>
      <c r="G7" s="23" t="s">
        <v>14</v>
      </c>
      <c r="H7" s="23" t="s">
        <v>15</v>
      </c>
      <c r="I7" s="23" t="s">
        <v>16</v>
      </c>
    </row>
    <row r="8" spans="1:12" ht="25.5" x14ac:dyDescent="0.25">
      <c r="A8" s="13">
        <v>8</v>
      </c>
      <c r="B8" s="13"/>
      <c r="C8" s="13"/>
      <c r="D8" s="13" t="s">
        <v>38</v>
      </c>
      <c r="E8" s="10"/>
      <c r="F8" s="11"/>
      <c r="G8" s="11"/>
      <c r="H8" s="11"/>
      <c r="I8" s="11"/>
    </row>
    <row r="9" spans="1:12" x14ac:dyDescent="0.25">
      <c r="A9" s="13"/>
      <c r="B9" s="17">
        <v>84</v>
      </c>
      <c r="C9" s="17"/>
      <c r="D9" s="17" t="s">
        <v>45</v>
      </c>
      <c r="E9" s="10"/>
      <c r="F9" s="11"/>
      <c r="G9" s="11"/>
      <c r="H9" s="11"/>
      <c r="I9" s="11"/>
    </row>
    <row r="10" spans="1:12" ht="25.5" x14ac:dyDescent="0.25">
      <c r="A10" s="14"/>
      <c r="B10" s="14"/>
      <c r="C10" s="15">
        <v>81</v>
      </c>
      <c r="D10" s="18" t="s">
        <v>46</v>
      </c>
      <c r="E10" s="10"/>
      <c r="F10" s="11"/>
      <c r="G10" s="11"/>
      <c r="H10" s="11"/>
      <c r="I10" s="11"/>
    </row>
    <row r="11" spans="1:12" ht="25.5" x14ac:dyDescent="0.25">
      <c r="A11" s="16">
        <v>5</v>
      </c>
      <c r="B11" s="16"/>
      <c r="C11" s="16"/>
      <c r="D11" s="35" t="s">
        <v>39</v>
      </c>
      <c r="E11" s="10"/>
      <c r="F11" s="11"/>
      <c r="G11" s="11"/>
      <c r="H11" s="11"/>
      <c r="I11" s="11"/>
    </row>
    <row r="12" spans="1:12" ht="25.5" x14ac:dyDescent="0.25">
      <c r="A12" s="17"/>
      <c r="B12" s="17">
        <v>54</v>
      </c>
      <c r="C12" s="17"/>
      <c r="D12" s="36" t="s">
        <v>47</v>
      </c>
      <c r="E12" s="10"/>
      <c r="F12" s="11"/>
      <c r="G12" s="11"/>
      <c r="H12" s="11"/>
      <c r="I12" s="12"/>
    </row>
    <row r="13" spans="1:12" x14ac:dyDescent="0.25">
      <c r="A13" s="17"/>
      <c r="B13" s="17"/>
      <c r="C13" s="128" t="s">
        <v>204</v>
      </c>
      <c r="D13" s="129" t="s">
        <v>24</v>
      </c>
      <c r="E13" s="10"/>
      <c r="F13" s="11"/>
      <c r="G13" s="11"/>
      <c r="H13" s="11"/>
      <c r="I13" s="12"/>
    </row>
    <row r="14" spans="1:12" x14ac:dyDescent="0.25">
      <c r="A14" s="17"/>
      <c r="B14" s="17"/>
      <c r="C14" s="15">
        <v>31</v>
      </c>
      <c r="D14" s="15" t="s">
        <v>48</v>
      </c>
      <c r="E14" s="10"/>
      <c r="F14" s="11"/>
      <c r="G14" s="11"/>
      <c r="H14" s="11"/>
      <c r="I14" s="12"/>
    </row>
  </sheetData>
  <mergeCells count="3">
    <mergeCell ref="A3:I3"/>
    <mergeCell ref="A5:I5"/>
    <mergeCell ref="A1:I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82"/>
  <sheetViews>
    <sheetView tabSelected="1" topLeftCell="A19" workbookViewId="0">
      <selection activeCell="G414" sqref="G414"/>
    </sheetView>
  </sheetViews>
  <sheetFormatPr defaultRowHeight="15" x14ac:dyDescent="0.25"/>
  <cols>
    <col min="1" max="1" width="3.7109375" customWidth="1"/>
    <col min="2" max="2" width="8.42578125" customWidth="1"/>
    <col min="3" max="3" width="8.7109375" customWidth="1"/>
    <col min="4" max="4" width="30" customWidth="1"/>
    <col min="5" max="5" width="17.85546875" customWidth="1"/>
    <col min="6" max="6" width="17.5703125" customWidth="1"/>
    <col min="7" max="7" width="17" customWidth="1"/>
    <col min="8" max="9" width="15.140625" customWidth="1"/>
  </cols>
  <sheetData>
    <row r="2" spans="1:9" ht="42" customHeight="1" x14ac:dyDescent="0.25">
      <c r="A2" s="195" t="s">
        <v>60</v>
      </c>
      <c r="B2" s="195"/>
      <c r="C2" s="195"/>
      <c r="D2" s="195"/>
      <c r="E2" s="195"/>
      <c r="F2" s="195"/>
      <c r="G2" s="195"/>
      <c r="H2" s="195"/>
      <c r="I2" s="195"/>
    </row>
    <row r="3" spans="1:9" ht="18" x14ac:dyDescent="0.25">
      <c r="A3" s="5"/>
      <c r="B3" s="5"/>
      <c r="C3" s="5"/>
      <c r="D3" s="5"/>
      <c r="E3" s="5"/>
      <c r="F3" s="5"/>
      <c r="G3" s="5"/>
      <c r="H3" s="6"/>
      <c r="I3" s="6"/>
    </row>
    <row r="4" spans="1:9" ht="18" customHeight="1" x14ac:dyDescent="0.25">
      <c r="A4" s="195" t="s">
        <v>40</v>
      </c>
      <c r="B4" s="196"/>
      <c r="C4" s="196"/>
      <c r="D4" s="196"/>
      <c r="E4" s="196"/>
      <c r="F4" s="196"/>
      <c r="G4" s="196"/>
      <c r="H4" s="196"/>
      <c r="I4" s="196"/>
    </row>
    <row r="5" spans="1:9" ht="18" x14ac:dyDescent="0.25">
      <c r="A5" s="5"/>
      <c r="B5" s="5"/>
      <c r="C5" s="5"/>
      <c r="D5" s="5"/>
      <c r="E5" s="5"/>
      <c r="F5" s="5"/>
      <c r="G5" s="5"/>
      <c r="H5" s="6"/>
      <c r="I5" s="6"/>
    </row>
    <row r="6" spans="1:9" ht="38.25" x14ac:dyDescent="0.25">
      <c r="A6" s="272" t="s">
        <v>42</v>
      </c>
      <c r="B6" s="273"/>
      <c r="C6" s="274"/>
      <c r="D6" s="22" t="s">
        <v>43</v>
      </c>
      <c r="E6" s="22" t="s">
        <v>12</v>
      </c>
      <c r="F6" s="23" t="s">
        <v>13</v>
      </c>
      <c r="G6" s="23" t="s">
        <v>14</v>
      </c>
      <c r="H6" s="23" t="s">
        <v>15</v>
      </c>
      <c r="I6" s="23" t="s">
        <v>16</v>
      </c>
    </row>
    <row r="7" spans="1:9" x14ac:dyDescent="0.25">
      <c r="A7" s="240" t="s">
        <v>192</v>
      </c>
      <c r="B7" s="241"/>
      <c r="C7" s="241"/>
      <c r="D7" s="242"/>
      <c r="E7" s="99">
        <f>E8+E32</f>
        <v>1775803.7454376535</v>
      </c>
      <c r="F7" s="99">
        <f t="shared" ref="F7:I7" si="0">F8+F32</f>
        <v>1633979.3350587296</v>
      </c>
      <c r="G7" s="99">
        <f t="shared" si="0"/>
        <v>1572634.55</v>
      </c>
      <c r="H7" s="99">
        <f t="shared" si="0"/>
        <v>1518700</v>
      </c>
      <c r="I7" s="99">
        <f t="shared" si="0"/>
        <v>1530837</v>
      </c>
    </row>
    <row r="8" spans="1:9" ht="15.75" customHeight="1" x14ac:dyDescent="0.25">
      <c r="A8" s="280" t="s">
        <v>85</v>
      </c>
      <c r="B8" s="280"/>
      <c r="C8" s="280"/>
      <c r="D8" s="280"/>
      <c r="E8" s="71">
        <f>E9</f>
        <v>62322.151436724402</v>
      </c>
      <c r="F8" s="71">
        <f t="shared" ref="F8:I8" si="1">F9</f>
        <v>53706.284424978425</v>
      </c>
      <c r="G8" s="71">
        <f t="shared" si="1"/>
        <v>54973.820000000007</v>
      </c>
      <c r="H8" s="71">
        <f t="shared" si="1"/>
        <v>55800</v>
      </c>
      <c r="I8" s="71">
        <f t="shared" si="1"/>
        <v>75800</v>
      </c>
    </row>
    <row r="9" spans="1:9" ht="15.75" customHeight="1" x14ac:dyDescent="0.25">
      <c r="A9" s="281" t="s">
        <v>86</v>
      </c>
      <c r="B9" s="282"/>
      <c r="C9" s="282"/>
      <c r="D9" s="283"/>
      <c r="E9" s="124">
        <f>E10+E27</f>
        <v>62322.151436724402</v>
      </c>
      <c r="F9" s="124">
        <f t="shared" ref="F9:I9" si="2">F10+F27</f>
        <v>53706.284424978425</v>
      </c>
      <c r="G9" s="124">
        <f t="shared" si="2"/>
        <v>54973.820000000007</v>
      </c>
      <c r="H9" s="124">
        <f t="shared" si="2"/>
        <v>55800</v>
      </c>
      <c r="I9" s="124">
        <f t="shared" si="2"/>
        <v>75800</v>
      </c>
    </row>
    <row r="10" spans="1:9" ht="15" customHeight="1" x14ac:dyDescent="0.25">
      <c r="A10" s="100" t="s">
        <v>87</v>
      </c>
      <c r="B10" s="100"/>
      <c r="C10" s="100"/>
      <c r="D10" s="100"/>
      <c r="E10" s="101">
        <f>E11+E22+E17</f>
        <v>58433.536399230208</v>
      </c>
      <c r="F10" s="101">
        <f t="shared" ref="F10:I10" si="3">F11+F22+F17</f>
        <v>47070.144004247122</v>
      </c>
      <c r="G10" s="101">
        <f t="shared" si="3"/>
        <v>45683.23</v>
      </c>
      <c r="H10" s="101">
        <f t="shared" si="3"/>
        <v>46500</v>
      </c>
      <c r="I10" s="101">
        <f t="shared" si="3"/>
        <v>66500</v>
      </c>
    </row>
    <row r="11" spans="1:9" ht="15" customHeight="1" x14ac:dyDescent="0.25">
      <c r="A11" s="228" t="s">
        <v>209</v>
      </c>
      <c r="B11" s="229"/>
      <c r="C11" s="229"/>
      <c r="D11" s="230"/>
      <c r="E11" s="82">
        <f>E13</f>
        <v>36178.901055146329</v>
      </c>
      <c r="F11" s="82">
        <f t="shared" ref="F11:I11" si="4">F13</f>
        <v>41601.964297564526</v>
      </c>
      <c r="G11" s="82">
        <f t="shared" si="4"/>
        <v>40215.060000000005</v>
      </c>
      <c r="H11" s="82">
        <f t="shared" si="4"/>
        <v>41000</v>
      </c>
      <c r="I11" s="82">
        <f t="shared" si="4"/>
        <v>41000</v>
      </c>
    </row>
    <row r="12" spans="1:9" ht="15" customHeight="1" x14ac:dyDescent="0.25">
      <c r="A12" s="218" t="s">
        <v>88</v>
      </c>
      <c r="B12" s="219"/>
      <c r="C12" s="219"/>
      <c r="D12" s="219"/>
      <c r="E12" s="66">
        <f>E13</f>
        <v>36178.901055146329</v>
      </c>
      <c r="F12" s="66">
        <f t="shared" ref="F12:I12" si="5">F13</f>
        <v>41601.964297564526</v>
      </c>
      <c r="G12" s="66">
        <f t="shared" si="5"/>
        <v>40215.060000000005</v>
      </c>
      <c r="H12" s="66">
        <f t="shared" si="5"/>
        <v>41000</v>
      </c>
      <c r="I12" s="66">
        <f t="shared" si="5"/>
        <v>41000</v>
      </c>
    </row>
    <row r="13" spans="1:9" x14ac:dyDescent="0.25">
      <c r="A13" s="209">
        <v>3</v>
      </c>
      <c r="B13" s="210"/>
      <c r="C13" s="211"/>
      <c r="D13" s="25" t="s">
        <v>26</v>
      </c>
      <c r="E13" s="46">
        <f>E14+E15+E16</f>
        <v>36178.901055146329</v>
      </c>
      <c r="F13" s="46">
        <f>F14+F15+F16</f>
        <v>41601.964297564526</v>
      </c>
      <c r="G13" s="46">
        <f t="shared" ref="G13:I13" si="6">G14+G15+G16</f>
        <v>40215.060000000005</v>
      </c>
      <c r="H13" s="46">
        <f t="shared" si="6"/>
        <v>41000</v>
      </c>
      <c r="I13" s="46">
        <f t="shared" si="6"/>
        <v>41000</v>
      </c>
    </row>
    <row r="14" spans="1:9" x14ac:dyDescent="0.25">
      <c r="A14" s="212">
        <v>31</v>
      </c>
      <c r="B14" s="213"/>
      <c r="C14" s="214"/>
      <c r="D14" s="25" t="s">
        <v>29</v>
      </c>
      <c r="E14" s="46">
        <f>172953.54/7.5345</f>
        <v>22954.879554051364</v>
      </c>
      <c r="F14" s="47">
        <f>201450/7.5345</f>
        <v>26737.009755126415</v>
      </c>
      <c r="G14" s="47">
        <v>25615.5</v>
      </c>
      <c r="H14" s="47">
        <v>25600</v>
      </c>
      <c r="I14" s="48">
        <v>25600</v>
      </c>
    </row>
    <row r="15" spans="1:9" x14ac:dyDescent="0.25">
      <c r="A15" s="269">
        <v>32</v>
      </c>
      <c r="B15" s="270"/>
      <c r="C15" s="271"/>
      <c r="D15" s="25" t="s">
        <v>44</v>
      </c>
      <c r="E15" s="46">
        <f>99636.39/7.5345</f>
        <v>13224.021501094963</v>
      </c>
      <c r="F15" s="47">
        <f>97000/7.5345</f>
        <v>12874.112416218726</v>
      </c>
      <c r="G15" s="47">
        <v>12608.66</v>
      </c>
      <c r="H15" s="47">
        <v>13409</v>
      </c>
      <c r="I15" s="47">
        <v>13409</v>
      </c>
    </row>
    <row r="16" spans="1:9" x14ac:dyDescent="0.25">
      <c r="A16" s="269">
        <v>38</v>
      </c>
      <c r="B16" s="270"/>
      <c r="C16" s="271"/>
      <c r="D16" s="25" t="s">
        <v>68</v>
      </c>
      <c r="E16" s="61">
        <f>0</f>
        <v>0</v>
      </c>
      <c r="F16" s="47">
        <f>15000/7.5345</f>
        <v>1990.8421262193906</v>
      </c>
      <c r="G16" s="47">
        <v>1990.9</v>
      </c>
      <c r="H16" s="47">
        <v>1991</v>
      </c>
      <c r="I16" s="47">
        <v>1991</v>
      </c>
    </row>
    <row r="17" spans="1:9" ht="15" customHeight="1" x14ac:dyDescent="0.25">
      <c r="A17" s="277" t="s">
        <v>159</v>
      </c>
      <c r="B17" s="278"/>
      <c r="C17" s="278"/>
      <c r="D17" s="279"/>
      <c r="E17" s="98">
        <f>E18</f>
        <v>5916.1643108368171</v>
      </c>
      <c r="F17" s="98">
        <f t="shared" ref="F17:H17" si="7">F18</f>
        <v>5468.179706682593</v>
      </c>
      <c r="G17" s="98">
        <f t="shared" si="7"/>
        <v>5468.17</v>
      </c>
      <c r="H17" s="98">
        <f t="shared" si="7"/>
        <v>5500</v>
      </c>
      <c r="I17" s="98">
        <f>I18</f>
        <v>5500</v>
      </c>
    </row>
    <row r="18" spans="1:9" x14ac:dyDescent="0.25">
      <c r="A18" s="275" t="s">
        <v>89</v>
      </c>
      <c r="B18" s="276"/>
      <c r="C18" s="276"/>
      <c r="D18" s="276"/>
      <c r="E18" s="67">
        <f>E19</f>
        <v>5916.1643108368171</v>
      </c>
      <c r="F18" s="67">
        <f t="shared" ref="F18:I18" si="8">F19</f>
        <v>5468.179706682593</v>
      </c>
      <c r="G18" s="67">
        <f t="shared" si="8"/>
        <v>5468.17</v>
      </c>
      <c r="H18" s="67">
        <f t="shared" si="8"/>
        <v>5500</v>
      </c>
      <c r="I18" s="67">
        <f t="shared" si="8"/>
        <v>5500</v>
      </c>
    </row>
    <row r="19" spans="1:9" x14ac:dyDescent="0.25">
      <c r="A19" s="209">
        <v>3</v>
      </c>
      <c r="B19" s="210"/>
      <c r="C19" s="211"/>
      <c r="D19" s="25" t="s">
        <v>26</v>
      </c>
      <c r="E19" s="46">
        <f>E20+E21</f>
        <v>5916.1643108368171</v>
      </c>
      <c r="F19" s="46">
        <f t="shared" ref="F19:I19" si="9">F20+F21</f>
        <v>5468.179706682593</v>
      </c>
      <c r="G19" s="46">
        <f>G20+G21</f>
        <v>5468.17</v>
      </c>
      <c r="H19" s="46">
        <f t="shared" si="9"/>
        <v>5500</v>
      </c>
      <c r="I19" s="46">
        <f t="shared" si="9"/>
        <v>5500</v>
      </c>
    </row>
    <row r="20" spans="1:9" x14ac:dyDescent="0.25">
      <c r="A20" s="269">
        <v>32</v>
      </c>
      <c r="B20" s="270"/>
      <c r="C20" s="271"/>
      <c r="D20" s="25" t="s">
        <v>44</v>
      </c>
      <c r="E20" s="46">
        <f>36199.64/7.5345</f>
        <v>4804.5178843984331</v>
      </c>
      <c r="F20" s="47">
        <f>31000/7.5345</f>
        <v>4114.4070608534075</v>
      </c>
      <c r="G20" s="47">
        <v>4114.3999999999996</v>
      </c>
      <c r="H20" s="47">
        <v>4145</v>
      </c>
      <c r="I20" s="48">
        <v>4145</v>
      </c>
    </row>
    <row r="21" spans="1:9" x14ac:dyDescent="0.25">
      <c r="A21" s="269">
        <v>38</v>
      </c>
      <c r="B21" s="270"/>
      <c r="C21" s="271"/>
      <c r="D21" s="25" t="s">
        <v>68</v>
      </c>
      <c r="E21" s="46">
        <f>8375.7/7.5345</f>
        <v>1111.6464264383835</v>
      </c>
      <c r="F21" s="47">
        <f>10200/7.5345</f>
        <v>1353.7726458291856</v>
      </c>
      <c r="G21" s="47">
        <v>1353.77</v>
      </c>
      <c r="H21" s="47">
        <v>1355</v>
      </c>
      <c r="I21" s="48">
        <v>1355</v>
      </c>
    </row>
    <row r="22" spans="1:9" x14ac:dyDescent="0.25">
      <c r="A22" s="77" t="s">
        <v>160</v>
      </c>
      <c r="B22" s="77"/>
      <c r="C22" s="77"/>
      <c r="D22" s="96"/>
      <c r="E22" s="94">
        <f>E25</f>
        <v>16338.471033247064</v>
      </c>
      <c r="F22" s="97"/>
      <c r="G22" s="97"/>
      <c r="H22" s="97"/>
      <c r="I22" s="169">
        <f>I25</f>
        <v>20000</v>
      </c>
    </row>
    <row r="23" spans="1:9" x14ac:dyDescent="0.25">
      <c r="A23" s="63" t="s">
        <v>90</v>
      </c>
      <c r="B23" s="62"/>
      <c r="C23" s="62"/>
      <c r="D23" s="62"/>
      <c r="E23" s="64">
        <f>64303.94/7.5345</f>
        <v>8534.5995089256085</v>
      </c>
      <c r="F23" s="66"/>
      <c r="G23" s="73"/>
      <c r="H23" s="73"/>
      <c r="I23" s="74">
        <v>20000</v>
      </c>
    </row>
    <row r="24" spans="1:9" x14ac:dyDescent="0.25">
      <c r="A24" s="218" t="s">
        <v>88</v>
      </c>
      <c r="B24" s="219"/>
      <c r="C24" s="219"/>
      <c r="D24" s="219"/>
      <c r="E24" s="75">
        <f>58798.27/7.5345</f>
        <v>7803.8715243214538</v>
      </c>
      <c r="F24" s="75"/>
      <c r="G24" s="75"/>
      <c r="H24" s="75"/>
      <c r="I24" s="75"/>
    </row>
    <row r="25" spans="1:9" x14ac:dyDescent="0.25">
      <c r="A25" s="209">
        <v>3</v>
      </c>
      <c r="B25" s="210"/>
      <c r="C25" s="211"/>
      <c r="D25" s="50" t="s">
        <v>26</v>
      </c>
      <c r="E25" s="65">
        <f>E26</f>
        <v>16338.471033247064</v>
      </c>
      <c r="F25" s="65"/>
      <c r="G25" s="65"/>
      <c r="H25" s="65"/>
      <c r="I25" s="65">
        <f>I26</f>
        <v>20000</v>
      </c>
    </row>
    <row r="26" spans="1:9" x14ac:dyDescent="0.25">
      <c r="A26" s="269">
        <v>32</v>
      </c>
      <c r="B26" s="270"/>
      <c r="C26" s="271"/>
      <c r="D26" s="50" t="s">
        <v>44</v>
      </c>
      <c r="E26" s="65">
        <f>123102.21/7.5345</f>
        <v>16338.471033247064</v>
      </c>
      <c r="F26" s="65"/>
      <c r="G26" s="65"/>
      <c r="H26" s="65"/>
      <c r="I26" s="65">
        <v>20000</v>
      </c>
    </row>
    <row r="27" spans="1:9" x14ac:dyDescent="0.25">
      <c r="A27" s="102" t="s">
        <v>91</v>
      </c>
      <c r="B27" s="102"/>
      <c r="C27" s="102"/>
      <c r="D27" s="102"/>
      <c r="E27" s="103">
        <f>E28</f>
        <v>3888.6150374941931</v>
      </c>
      <c r="F27" s="103">
        <f t="shared" ref="F27:I28" si="10">F28</f>
        <v>6636.1404207313026</v>
      </c>
      <c r="G27" s="103">
        <f t="shared" si="10"/>
        <v>9290.59</v>
      </c>
      <c r="H27" s="103">
        <f t="shared" si="10"/>
        <v>9300</v>
      </c>
      <c r="I27" s="103">
        <f t="shared" si="10"/>
        <v>9300</v>
      </c>
    </row>
    <row r="28" spans="1:9" x14ac:dyDescent="0.25">
      <c r="A28" s="228" t="s">
        <v>161</v>
      </c>
      <c r="B28" s="229"/>
      <c r="C28" s="229"/>
      <c r="D28" s="230"/>
      <c r="E28" s="94">
        <f>E29</f>
        <v>3888.6150374941931</v>
      </c>
      <c r="F28" s="94">
        <f t="shared" si="10"/>
        <v>6636.1404207313026</v>
      </c>
      <c r="G28" s="94">
        <f t="shared" si="10"/>
        <v>9290.59</v>
      </c>
      <c r="H28" s="94">
        <f t="shared" si="10"/>
        <v>9300</v>
      </c>
      <c r="I28" s="94">
        <f t="shared" si="10"/>
        <v>9300</v>
      </c>
    </row>
    <row r="29" spans="1:9" x14ac:dyDescent="0.25">
      <c r="A29" s="218" t="s">
        <v>88</v>
      </c>
      <c r="B29" s="219"/>
      <c r="C29" s="219"/>
      <c r="D29" s="219"/>
      <c r="E29" s="75">
        <f>E30</f>
        <v>3888.6150374941931</v>
      </c>
      <c r="F29" s="75">
        <f t="shared" ref="F29:I29" si="11">F30</f>
        <v>6636.1404207313026</v>
      </c>
      <c r="G29" s="75">
        <f t="shared" si="11"/>
        <v>9290.59</v>
      </c>
      <c r="H29" s="75">
        <f t="shared" si="11"/>
        <v>9300</v>
      </c>
      <c r="I29" s="75">
        <f t="shared" si="11"/>
        <v>9300</v>
      </c>
    </row>
    <row r="30" spans="1:9" x14ac:dyDescent="0.25">
      <c r="A30" s="209">
        <v>3</v>
      </c>
      <c r="B30" s="210"/>
      <c r="C30" s="211"/>
      <c r="D30" s="25" t="s">
        <v>26</v>
      </c>
      <c r="E30" s="65">
        <f>E31</f>
        <v>3888.6150374941931</v>
      </c>
      <c r="F30" s="65">
        <f t="shared" ref="F30:I30" si="12">F31</f>
        <v>6636.1404207313026</v>
      </c>
      <c r="G30" s="65">
        <f t="shared" si="12"/>
        <v>9290.59</v>
      </c>
      <c r="H30" s="65">
        <f t="shared" si="12"/>
        <v>9300</v>
      </c>
      <c r="I30" s="65">
        <f t="shared" si="12"/>
        <v>9300</v>
      </c>
    </row>
    <row r="31" spans="1:9" x14ac:dyDescent="0.25">
      <c r="A31" s="269">
        <v>32</v>
      </c>
      <c r="B31" s="270"/>
      <c r="C31" s="271"/>
      <c r="D31" s="25" t="s">
        <v>44</v>
      </c>
      <c r="E31" s="65">
        <f>29298.77/7.5345</f>
        <v>3888.6150374941931</v>
      </c>
      <c r="F31" s="65">
        <f>50000/7.5345</f>
        <v>6636.1404207313026</v>
      </c>
      <c r="G31" s="65">
        <v>9290.59</v>
      </c>
      <c r="H31" s="65">
        <v>9300</v>
      </c>
      <c r="I31" s="65">
        <v>9300</v>
      </c>
    </row>
    <row r="32" spans="1:9" ht="15.75" x14ac:dyDescent="0.25">
      <c r="A32" s="284" t="s">
        <v>92</v>
      </c>
      <c r="B32" s="285"/>
      <c r="C32" s="285"/>
      <c r="D32" s="285"/>
      <c r="E32" s="72">
        <f>E33+E87+E100+E262+E291+E305+E329+E371</f>
        <v>1713481.594000929</v>
      </c>
      <c r="F32" s="72">
        <f>F33+F87+F100+F262+F291+F305+F329+F371</f>
        <v>1580273.0506337513</v>
      </c>
      <c r="G32" s="72">
        <f>G33+G87+G100+G262+G291+G305+G329+G371</f>
        <v>1517660.73</v>
      </c>
      <c r="H32" s="72">
        <f>H33+H87+H100+H262+H291+H305+H329+H371</f>
        <v>1462900</v>
      </c>
      <c r="I32" s="72">
        <f>I33+I87+I100+I262+I291+I305+I329+I371</f>
        <v>1455037</v>
      </c>
    </row>
    <row r="33" spans="1:9" x14ac:dyDescent="0.25">
      <c r="A33" s="123" t="s">
        <v>93</v>
      </c>
      <c r="B33" s="123"/>
      <c r="C33" s="123"/>
      <c r="D33" s="123"/>
      <c r="E33" s="124">
        <f>E34+E81</f>
        <v>168178.65817240693</v>
      </c>
      <c r="F33" s="124">
        <f>F34+F81</f>
        <v>282878.33300152636</v>
      </c>
      <c r="G33" s="124">
        <f>G34+G81</f>
        <v>309816.83</v>
      </c>
      <c r="H33" s="124">
        <f>H34+H81</f>
        <v>499823</v>
      </c>
      <c r="I33" s="124">
        <f>I34+I81</f>
        <v>252731</v>
      </c>
    </row>
    <row r="34" spans="1:9" x14ac:dyDescent="0.25">
      <c r="A34" s="231" t="s">
        <v>94</v>
      </c>
      <c r="B34" s="232"/>
      <c r="C34" s="232"/>
      <c r="D34" s="233"/>
      <c r="E34" s="104">
        <f>E35+E45+E72+E50+E67</f>
        <v>162532.02999535471</v>
      </c>
      <c r="F34" s="104">
        <f>F35+F45+F72+F50+F67+F54+F58+F62</f>
        <v>281332.11228349595</v>
      </c>
      <c r="G34" s="104">
        <f>G35+G45+G72+G50+G67+G54+G76</f>
        <v>299982.07</v>
      </c>
      <c r="H34" s="104">
        <f t="shared" ref="H34:I34" si="13">H35+H45+H72+H50+H67+H54+H76</f>
        <v>489988</v>
      </c>
      <c r="I34" s="104">
        <f t="shared" si="13"/>
        <v>242896</v>
      </c>
    </row>
    <row r="35" spans="1:9" ht="28.5" customHeight="1" x14ac:dyDescent="0.25">
      <c r="A35" s="223" t="s">
        <v>96</v>
      </c>
      <c r="B35" s="224"/>
      <c r="C35" s="224"/>
      <c r="D35" s="224"/>
      <c r="E35" s="94">
        <f>E39+E42</f>
        <v>135282.84823146858</v>
      </c>
      <c r="F35" s="94">
        <f t="shared" ref="F35:H35" si="14">F39+F42</f>
        <v>207564.77536664676</v>
      </c>
      <c r="G35" s="94">
        <f t="shared" si="14"/>
        <v>198449.13</v>
      </c>
      <c r="H35" s="94">
        <f t="shared" si="14"/>
        <v>203018</v>
      </c>
      <c r="I35" s="94">
        <f>I39+I42</f>
        <v>200895</v>
      </c>
    </row>
    <row r="36" spans="1:9" s="147" customFormat="1" ht="15" customHeight="1" x14ac:dyDescent="0.2">
      <c r="A36" s="218" t="s">
        <v>95</v>
      </c>
      <c r="B36" s="219"/>
      <c r="C36" s="219"/>
      <c r="D36" s="219"/>
      <c r="E36" s="66">
        <f>530.41/7.5345</f>
        <v>70.397504811201799</v>
      </c>
      <c r="F36" s="66">
        <f>1100/7.5345</f>
        <v>145.99508925608865</v>
      </c>
      <c r="G36" s="146"/>
      <c r="H36" s="146"/>
      <c r="I36" s="146"/>
    </row>
    <row r="37" spans="1:9" s="147" customFormat="1" ht="15" customHeight="1" x14ac:dyDescent="0.2">
      <c r="A37" s="218" t="s">
        <v>90</v>
      </c>
      <c r="B37" s="219"/>
      <c r="C37" s="219"/>
      <c r="D37" s="219"/>
      <c r="E37" s="66">
        <f>72677.56/7.5345</f>
        <v>9645.9698719224889</v>
      </c>
      <c r="F37" s="148"/>
      <c r="G37" s="146"/>
      <c r="H37" s="146"/>
      <c r="I37" s="146"/>
    </row>
    <row r="38" spans="1:9" s="147" customFormat="1" ht="15" customHeight="1" x14ac:dyDescent="0.2">
      <c r="A38" s="218" t="s">
        <v>88</v>
      </c>
      <c r="B38" s="219"/>
      <c r="C38" s="219"/>
      <c r="D38" s="219"/>
      <c r="E38" s="66">
        <f>946080.65/7.5345</f>
        <v>125566.48085473488</v>
      </c>
      <c r="F38" s="66">
        <f>1562796.8/7.5345</f>
        <v>207418.78027739067</v>
      </c>
      <c r="G38" s="146">
        <v>198449.13</v>
      </c>
      <c r="H38" s="146">
        <v>203018</v>
      </c>
      <c r="I38" s="146">
        <v>200895</v>
      </c>
    </row>
    <row r="39" spans="1:9" x14ac:dyDescent="0.25">
      <c r="A39" s="209">
        <v>3</v>
      </c>
      <c r="B39" s="210"/>
      <c r="C39" s="211"/>
      <c r="D39" s="25" t="s">
        <v>26</v>
      </c>
      <c r="E39" s="65">
        <f>E40+E41</f>
        <v>130106.65870329816</v>
      </c>
      <c r="F39" s="65">
        <f t="shared" ref="F39:I39" si="15">F40+F41</f>
        <v>195619.72260933041</v>
      </c>
      <c r="G39" s="65">
        <f t="shared" si="15"/>
        <v>191812.99</v>
      </c>
      <c r="H39" s="65">
        <f t="shared" si="15"/>
        <v>201368</v>
      </c>
      <c r="I39" s="65">
        <f t="shared" si="15"/>
        <v>182895</v>
      </c>
    </row>
    <row r="40" spans="1:9" x14ac:dyDescent="0.25">
      <c r="A40" s="212">
        <v>31</v>
      </c>
      <c r="B40" s="213"/>
      <c r="C40" s="214"/>
      <c r="D40" s="25" t="s">
        <v>29</v>
      </c>
      <c r="E40" s="65">
        <f>539909.55/7.5345</f>
        <v>71658.311765876962</v>
      </c>
      <c r="F40" s="65">
        <f>755480/7.5345</f>
        <v>100269.42730108168</v>
      </c>
      <c r="G40" s="65">
        <v>84716.97</v>
      </c>
      <c r="H40" s="65">
        <v>85000</v>
      </c>
      <c r="I40" s="65">
        <v>85000</v>
      </c>
    </row>
    <row r="41" spans="1:9" x14ac:dyDescent="0.25">
      <c r="A41" s="269">
        <v>32</v>
      </c>
      <c r="B41" s="270"/>
      <c r="C41" s="271"/>
      <c r="D41" s="25" t="s">
        <v>44</v>
      </c>
      <c r="E41" s="65">
        <f>440379.07/7.5345</f>
        <v>58448.346937421193</v>
      </c>
      <c r="F41" s="65">
        <f>718416.8/7.5345</f>
        <v>95350.295308248722</v>
      </c>
      <c r="G41" s="65">
        <v>107096.02</v>
      </c>
      <c r="H41" s="65">
        <v>116368</v>
      </c>
      <c r="I41" s="65">
        <v>97895</v>
      </c>
    </row>
    <row r="42" spans="1:9" ht="25.5" x14ac:dyDescent="0.25">
      <c r="A42" s="209">
        <v>4</v>
      </c>
      <c r="B42" s="210"/>
      <c r="C42" s="211"/>
      <c r="D42" s="25" t="s">
        <v>5</v>
      </c>
      <c r="E42" s="65">
        <f>E44+E43</f>
        <v>5176.1895281704155</v>
      </c>
      <c r="F42" s="65">
        <f t="shared" ref="F42:I42" si="16">F44+F43</f>
        <v>11945.052757316344</v>
      </c>
      <c r="G42" s="65">
        <f t="shared" si="16"/>
        <v>6636.14</v>
      </c>
      <c r="H42" s="65">
        <f t="shared" si="16"/>
        <v>1650</v>
      </c>
      <c r="I42" s="65">
        <f t="shared" si="16"/>
        <v>18000</v>
      </c>
    </row>
    <row r="43" spans="1:9" ht="25.5" x14ac:dyDescent="0.25">
      <c r="A43" s="212">
        <v>41</v>
      </c>
      <c r="B43" s="213"/>
      <c r="C43" s="214"/>
      <c r="D43" s="25" t="s">
        <v>193</v>
      </c>
      <c r="E43" s="65"/>
      <c r="F43" s="65">
        <f>90000/7.5345</f>
        <v>11945.052757316344</v>
      </c>
      <c r="G43" s="65">
        <v>6636.14</v>
      </c>
      <c r="H43" s="65"/>
      <c r="I43" s="65">
        <v>18000</v>
      </c>
    </row>
    <row r="44" spans="1:9" ht="25.5" x14ac:dyDescent="0.25">
      <c r="A44" s="212">
        <v>42</v>
      </c>
      <c r="B44" s="213"/>
      <c r="C44" s="214"/>
      <c r="D44" s="25" t="s">
        <v>158</v>
      </c>
      <c r="E44" s="65">
        <f>39000/7.5345</f>
        <v>5176.1895281704155</v>
      </c>
      <c r="F44" s="65"/>
      <c r="G44" s="65"/>
      <c r="H44" s="65">
        <v>1650</v>
      </c>
      <c r="I44" s="65"/>
    </row>
    <row r="45" spans="1:9" x14ac:dyDescent="0.25">
      <c r="A45" s="286" t="s">
        <v>97</v>
      </c>
      <c r="B45" s="287"/>
      <c r="C45" s="287"/>
      <c r="D45" s="288"/>
      <c r="E45" s="94">
        <f>E47</f>
        <v>3553.0519609794937</v>
      </c>
      <c r="F45" s="94">
        <f t="shared" ref="F45:I45" si="17">F47</f>
        <v>2893.3572234388475</v>
      </c>
      <c r="G45" s="94">
        <f t="shared" si="17"/>
        <v>3848.96</v>
      </c>
      <c r="H45" s="94">
        <f t="shared" si="17"/>
        <v>3850</v>
      </c>
      <c r="I45" s="94">
        <f t="shared" si="17"/>
        <v>3850</v>
      </c>
    </row>
    <row r="46" spans="1:9" x14ac:dyDescent="0.25">
      <c r="A46" s="275" t="s">
        <v>89</v>
      </c>
      <c r="B46" s="276"/>
      <c r="C46" s="276"/>
      <c r="D46" s="276"/>
      <c r="E46" s="75">
        <f>E47</f>
        <v>3553.0519609794937</v>
      </c>
      <c r="F46" s="75">
        <f t="shared" ref="F46:I46" si="18">F47</f>
        <v>2893.3572234388475</v>
      </c>
      <c r="G46" s="75">
        <f t="shared" si="18"/>
        <v>3848.96</v>
      </c>
      <c r="H46" s="75">
        <f t="shared" si="18"/>
        <v>3850</v>
      </c>
      <c r="I46" s="75">
        <f t="shared" si="18"/>
        <v>3850</v>
      </c>
    </row>
    <row r="47" spans="1:9" x14ac:dyDescent="0.25">
      <c r="A47" s="209">
        <v>3</v>
      </c>
      <c r="B47" s="210"/>
      <c r="C47" s="211"/>
      <c r="D47" s="25" t="s">
        <v>26</v>
      </c>
      <c r="E47" s="65">
        <f>E48+E49</f>
        <v>3553.0519609794937</v>
      </c>
      <c r="F47" s="65">
        <f t="shared" ref="F47:H47" si="19">F48+F49</f>
        <v>2893.3572234388475</v>
      </c>
      <c r="G47" s="65">
        <f t="shared" si="19"/>
        <v>3848.96</v>
      </c>
      <c r="H47" s="65">
        <f t="shared" si="19"/>
        <v>3850</v>
      </c>
      <c r="I47" s="65">
        <f>I48+I49</f>
        <v>3850</v>
      </c>
    </row>
    <row r="48" spans="1:9" x14ac:dyDescent="0.25">
      <c r="A48" s="269">
        <v>32</v>
      </c>
      <c r="B48" s="270"/>
      <c r="C48" s="271"/>
      <c r="D48" s="50" t="s">
        <v>44</v>
      </c>
      <c r="E48" s="65">
        <f>4464.7/7.5345</f>
        <v>592.56752272878089</v>
      </c>
      <c r="F48" s="65">
        <f>6000/7.5345</f>
        <v>796.33685048775624</v>
      </c>
      <c r="G48" s="65">
        <v>1327.23</v>
      </c>
      <c r="H48" s="65">
        <v>1250</v>
      </c>
      <c r="I48" s="65">
        <v>1250</v>
      </c>
    </row>
    <row r="49" spans="1:9" x14ac:dyDescent="0.25">
      <c r="A49" s="269">
        <v>34</v>
      </c>
      <c r="B49" s="270"/>
      <c r="C49" s="271"/>
      <c r="D49" s="50" t="s">
        <v>162</v>
      </c>
      <c r="E49" s="65">
        <f>22305.77/7.5345</f>
        <v>2960.4844382507131</v>
      </c>
      <c r="F49" s="65">
        <f>15800/7.5345</f>
        <v>2097.0203729510913</v>
      </c>
      <c r="G49" s="65">
        <v>2521.73</v>
      </c>
      <c r="H49" s="65">
        <v>2600</v>
      </c>
      <c r="I49" s="65">
        <v>2600</v>
      </c>
    </row>
    <row r="50" spans="1:9" x14ac:dyDescent="0.25">
      <c r="A50" s="277" t="s">
        <v>194</v>
      </c>
      <c r="B50" s="278"/>
      <c r="C50" s="278"/>
      <c r="D50" s="279"/>
      <c r="E50" s="84">
        <f>E51</f>
        <v>9042.7447076780136</v>
      </c>
      <c r="F50" s="84">
        <f t="shared" ref="F50" si="20">F51</f>
        <v>15926.737009755125</v>
      </c>
      <c r="G50" s="84">
        <f>G52</f>
        <v>26544.560000000001</v>
      </c>
      <c r="H50" s="84">
        <f t="shared" ref="H50:I50" si="21">H52</f>
        <v>20000</v>
      </c>
      <c r="I50" s="84">
        <f t="shared" si="21"/>
        <v>15000</v>
      </c>
    </row>
    <row r="51" spans="1:9" x14ac:dyDescent="0.25">
      <c r="A51" s="275" t="s">
        <v>89</v>
      </c>
      <c r="B51" s="276"/>
      <c r="C51" s="276"/>
      <c r="D51" s="276"/>
      <c r="E51" s="66">
        <f>E52</f>
        <v>9042.7447076780136</v>
      </c>
      <c r="F51" s="75">
        <f>F52</f>
        <v>15926.737009755125</v>
      </c>
      <c r="G51" s="75">
        <v>26544.560000000001</v>
      </c>
      <c r="H51" s="75">
        <v>20000</v>
      </c>
      <c r="I51" s="75">
        <v>15000</v>
      </c>
    </row>
    <row r="52" spans="1:9" x14ac:dyDescent="0.25">
      <c r="A52" s="209">
        <v>3</v>
      </c>
      <c r="B52" s="210"/>
      <c r="C52" s="211"/>
      <c r="D52" s="25" t="s">
        <v>26</v>
      </c>
      <c r="E52" s="65">
        <f>E53</f>
        <v>9042.7447076780136</v>
      </c>
      <c r="F52" s="65">
        <f t="shared" ref="F52:I52" si="22">F53</f>
        <v>15926.737009755125</v>
      </c>
      <c r="G52" s="65">
        <f t="shared" si="22"/>
        <v>26544.560000000001</v>
      </c>
      <c r="H52" s="65">
        <f t="shared" si="22"/>
        <v>20000</v>
      </c>
      <c r="I52" s="65">
        <f t="shared" si="22"/>
        <v>15000</v>
      </c>
    </row>
    <row r="53" spans="1:9" ht="25.5" x14ac:dyDescent="0.25">
      <c r="A53" s="269">
        <v>36</v>
      </c>
      <c r="B53" s="270"/>
      <c r="C53" s="271"/>
      <c r="D53" s="50" t="s">
        <v>66</v>
      </c>
      <c r="E53" s="65">
        <f>68132.56/7.5345</f>
        <v>9042.7447076780136</v>
      </c>
      <c r="F53" s="65">
        <f>120000/7.5345</f>
        <v>15926.737009755125</v>
      </c>
      <c r="G53" s="65">
        <v>26544.560000000001</v>
      </c>
      <c r="H53" s="65">
        <v>20000</v>
      </c>
      <c r="I53" s="65">
        <v>15000</v>
      </c>
    </row>
    <row r="54" spans="1:9" x14ac:dyDescent="0.25">
      <c r="A54" s="277" t="s">
        <v>195</v>
      </c>
      <c r="B54" s="278"/>
      <c r="C54" s="278"/>
      <c r="D54" s="279"/>
      <c r="E54" s="81"/>
      <c r="F54" s="86">
        <f>F56</f>
        <v>796.33685048775624</v>
      </c>
      <c r="G54" s="156">
        <f>G56</f>
        <v>796.34</v>
      </c>
      <c r="H54" s="156">
        <f t="shared" ref="H54:I54" si="23">H56</f>
        <v>0</v>
      </c>
      <c r="I54" s="156">
        <f t="shared" si="23"/>
        <v>0</v>
      </c>
    </row>
    <row r="55" spans="1:9" x14ac:dyDescent="0.25">
      <c r="A55" s="275" t="s">
        <v>89</v>
      </c>
      <c r="B55" s="276"/>
      <c r="C55" s="276"/>
      <c r="D55" s="276"/>
      <c r="E55" s="75"/>
      <c r="F55" s="75">
        <f>F56</f>
        <v>796.33685048775624</v>
      </c>
      <c r="G55" s="75">
        <v>796.34</v>
      </c>
      <c r="H55" s="75"/>
      <c r="I55" s="75"/>
    </row>
    <row r="56" spans="1:9" x14ac:dyDescent="0.25">
      <c r="A56" s="209">
        <v>3</v>
      </c>
      <c r="B56" s="210"/>
      <c r="C56" s="211"/>
      <c r="D56" s="25" t="s">
        <v>26</v>
      </c>
      <c r="E56" s="65"/>
      <c r="F56" s="65">
        <f>F57</f>
        <v>796.33685048775624</v>
      </c>
      <c r="G56" s="65">
        <f>G57</f>
        <v>796.34</v>
      </c>
      <c r="H56" s="65"/>
      <c r="I56" s="65"/>
    </row>
    <row r="57" spans="1:9" ht="25.5" x14ac:dyDescent="0.25">
      <c r="A57" s="269">
        <v>36</v>
      </c>
      <c r="B57" s="270"/>
      <c r="C57" s="271"/>
      <c r="D57" s="50" t="s">
        <v>66</v>
      </c>
      <c r="E57" s="65"/>
      <c r="F57" s="65">
        <f>6000/7.5345</f>
        <v>796.33685048775624</v>
      </c>
      <c r="G57" s="65">
        <v>796.34</v>
      </c>
      <c r="H57" s="65"/>
      <c r="I57" s="65"/>
    </row>
    <row r="58" spans="1:9" x14ac:dyDescent="0.25">
      <c r="A58" s="277" t="s">
        <v>214</v>
      </c>
      <c r="B58" s="278"/>
      <c r="C58" s="278"/>
      <c r="D58" s="279"/>
      <c r="E58" s="81"/>
      <c r="F58" s="86">
        <f>F60</f>
        <v>663.61404207313024</v>
      </c>
      <c r="G58" s="81"/>
      <c r="H58" s="81"/>
      <c r="I58" s="81"/>
    </row>
    <row r="59" spans="1:9" x14ac:dyDescent="0.25">
      <c r="A59" s="275" t="s">
        <v>89</v>
      </c>
      <c r="B59" s="276"/>
      <c r="C59" s="276"/>
      <c r="D59" s="276"/>
      <c r="E59" s="75"/>
      <c r="F59" s="75">
        <f>F60</f>
        <v>663.61404207313024</v>
      </c>
      <c r="G59" s="75"/>
      <c r="H59" s="75"/>
      <c r="I59" s="75"/>
    </row>
    <row r="60" spans="1:9" x14ac:dyDescent="0.25">
      <c r="A60" s="209">
        <v>3</v>
      </c>
      <c r="B60" s="210"/>
      <c r="C60" s="211"/>
      <c r="D60" s="25" t="s">
        <v>26</v>
      </c>
      <c r="E60" s="65"/>
      <c r="F60" s="65">
        <f>F61</f>
        <v>663.61404207313024</v>
      </c>
      <c r="G60" s="65"/>
      <c r="H60" s="65"/>
      <c r="I60" s="65"/>
    </row>
    <row r="61" spans="1:9" ht="25.5" x14ac:dyDescent="0.25">
      <c r="A61" s="269">
        <v>36</v>
      </c>
      <c r="B61" s="270"/>
      <c r="C61" s="271"/>
      <c r="D61" s="50" t="s">
        <v>66</v>
      </c>
      <c r="E61" s="65"/>
      <c r="F61" s="65">
        <f>5000/7.5345</f>
        <v>663.61404207313024</v>
      </c>
      <c r="G61" s="65"/>
      <c r="H61" s="65"/>
      <c r="I61" s="65"/>
    </row>
    <row r="62" spans="1:9" x14ac:dyDescent="0.25">
      <c r="A62" s="277" t="s">
        <v>196</v>
      </c>
      <c r="B62" s="278"/>
      <c r="C62" s="278"/>
      <c r="D62" s="279"/>
      <c r="E62" s="81"/>
      <c r="F62" s="86">
        <f>F65</f>
        <v>9290.596589023824</v>
      </c>
      <c r="G62" s="81"/>
      <c r="H62" s="81"/>
      <c r="I62" s="81"/>
    </row>
    <row r="63" spans="1:9" x14ac:dyDescent="0.25">
      <c r="A63" s="218" t="s">
        <v>90</v>
      </c>
      <c r="B63" s="219"/>
      <c r="C63" s="219"/>
      <c r="D63" s="219"/>
      <c r="E63" s="75"/>
      <c r="F63" s="75">
        <f>35000/7.5345</f>
        <v>4645.298294511912</v>
      </c>
      <c r="G63" s="75"/>
      <c r="H63" s="75"/>
      <c r="I63" s="75"/>
    </row>
    <row r="64" spans="1:9" x14ac:dyDescent="0.25">
      <c r="A64" s="218" t="s">
        <v>88</v>
      </c>
      <c r="B64" s="219"/>
      <c r="C64" s="219"/>
      <c r="D64" s="219"/>
      <c r="E64" s="75"/>
      <c r="F64" s="75">
        <f>35000/7.5345</f>
        <v>4645.298294511912</v>
      </c>
      <c r="G64" s="75"/>
      <c r="H64" s="75"/>
      <c r="I64" s="75"/>
    </row>
    <row r="65" spans="1:9" x14ac:dyDescent="0.25">
      <c r="A65" s="209">
        <v>3</v>
      </c>
      <c r="B65" s="210"/>
      <c r="C65" s="211"/>
      <c r="D65" s="25" t="s">
        <v>26</v>
      </c>
      <c r="E65" s="65"/>
      <c r="F65" s="65">
        <f>F66</f>
        <v>9290.596589023824</v>
      </c>
      <c r="G65" s="65"/>
      <c r="H65" s="65"/>
      <c r="I65" s="65"/>
    </row>
    <row r="66" spans="1:9" ht="25.5" x14ac:dyDescent="0.25">
      <c r="A66" s="269">
        <v>36</v>
      </c>
      <c r="B66" s="270"/>
      <c r="C66" s="271"/>
      <c r="D66" s="50" t="s">
        <v>66</v>
      </c>
      <c r="E66" s="65"/>
      <c r="F66" s="65">
        <f>70000/7.5345</f>
        <v>9290.596589023824</v>
      </c>
      <c r="G66" s="65"/>
      <c r="H66" s="65"/>
      <c r="I66" s="65"/>
    </row>
    <row r="67" spans="1:9" s="152" customFormat="1" ht="12.75" x14ac:dyDescent="0.2">
      <c r="A67" s="96" t="s">
        <v>98</v>
      </c>
      <c r="B67" s="151"/>
      <c r="C67" s="151"/>
      <c r="D67" s="151"/>
      <c r="E67" s="150">
        <f>E70</f>
        <v>13769.991373017452</v>
      </c>
      <c r="F67" s="150">
        <f t="shared" ref="F67:I67" si="24">F70</f>
        <v>23890.105514632687</v>
      </c>
      <c r="G67" s="150">
        <f t="shared" si="24"/>
        <v>39816.839999999997</v>
      </c>
      <c r="H67" s="150">
        <f t="shared" si="24"/>
        <v>34310</v>
      </c>
      <c r="I67" s="150">
        <f t="shared" si="24"/>
        <v>5000</v>
      </c>
    </row>
    <row r="68" spans="1:9" x14ac:dyDescent="0.25">
      <c r="A68" s="218" t="s">
        <v>90</v>
      </c>
      <c r="B68" s="219"/>
      <c r="C68" s="219"/>
      <c r="D68" s="219"/>
      <c r="E68" s="75">
        <f>100000/7.5345</f>
        <v>13272.280841462605</v>
      </c>
      <c r="F68" s="75"/>
      <c r="G68" s="75">
        <f>6636.14-1.81+546</f>
        <v>7180.33</v>
      </c>
      <c r="H68" s="75">
        <v>27000</v>
      </c>
      <c r="I68" s="75">
        <v>5000</v>
      </c>
    </row>
    <row r="69" spans="1:9" x14ac:dyDescent="0.25">
      <c r="A69" s="218" t="s">
        <v>88</v>
      </c>
      <c r="B69" s="219"/>
      <c r="C69" s="219"/>
      <c r="D69" s="219"/>
      <c r="E69" s="75">
        <f>3750/7.5345</f>
        <v>497.71053155484765</v>
      </c>
      <c r="F69" s="75">
        <f>F67</f>
        <v>23890.105514632687</v>
      </c>
      <c r="G69" s="75">
        <f>G67-G68</f>
        <v>32636.509999999995</v>
      </c>
      <c r="H69" s="75">
        <f>H67-H68</f>
        <v>7310</v>
      </c>
      <c r="I69" s="75"/>
    </row>
    <row r="70" spans="1:9" ht="25.5" x14ac:dyDescent="0.25">
      <c r="A70" s="209">
        <v>4</v>
      </c>
      <c r="B70" s="210"/>
      <c r="C70" s="211"/>
      <c r="D70" s="25" t="s">
        <v>5</v>
      </c>
      <c r="E70" s="65">
        <f>E71</f>
        <v>13769.991373017452</v>
      </c>
      <c r="F70" s="65">
        <f t="shared" ref="F70:I70" si="25">F71</f>
        <v>23890.105514632687</v>
      </c>
      <c r="G70" s="65">
        <f t="shared" si="25"/>
        <v>39816.839999999997</v>
      </c>
      <c r="H70" s="65">
        <f t="shared" si="25"/>
        <v>34310</v>
      </c>
      <c r="I70" s="65">
        <f t="shared" si="25"/>
        <v>5000</v>
      </c>
    </row>
    <row r="71" spans="1:9" ht="25.5" x14ac:dyDescent="0.25">
      <c r="A71" s="212">
        <v>42</v>
      </c>
      <c r="B71" s="213"/>
      <c r="C71" s="214"/>
      <c r="D71" s="25" t="s">
        <v>158</v>
      </c>
      <c r="E71" s="65">
        <f>103750/7.5345</f>
        <v>13769.991373017452</v>
      </c>
      <c r="F71" s="65">
        <f>180000/7.5345</f>
        <v>23890.105514632687</v>
      </c>
      <c r="G71" s="65">
        <v>39816.839999999997</v>
      </c>
      <c r="H71" s="65">
        <v>34310</v>
      </c>
      <c r="I71" s="65">
        <v>5000</v>
      </c>
    </row>
    <row r="72" spans="1:9" x14ac:dyDescent="0.25">
      <c r="A72" s="228" t="s">
        <v>99</v>
      </c>
      <c r="B72" s="229"/>
      <c r="C72" s="229"/>
      <c r="D72" s="230"/>
      <c r="E72" s="94">
        <f>E73</f>
        <v>883.39372221116196</v>
      </c>
      <c r="F72" s="94">
        <f t="shared" ref="F72" si="26">F73</f>
        <v>20306.589687437787</v>
      </c>
      <c r="G72" s="94">
        <f>G74</f>
        <v>10617.82</v>
      </c>
      <c r="H72" s="94">
        <f t="shared" ref="H72:I72" si="27">H74</f>
        <v>3810</v>
      </c>
      <c r="I72" s="94">
        <f t="shared" si="27"/>
        <v>8151</v>
      </c>
    </row>
    <row r="73" spans="1:9" x14ac:dyDescent="0.25">
      <c r="A73" s="218" t="s">
        <v>88</v>
      </c>
      <c r="B73" s="219"/>
      <c r="C73" s="219"/>
      <c r="D73" s="219"/>
      <c r="E73" s="75">
        <f>E74</f>
        <v>883.39372221116196</v>
      </c>
      <c r="F73" s="75">
        <f>F74</f>
        <v>20306.589687437787</v>
      </c>
      <c r="G73" s="75">
        <v>10617.82</v>
      </c>
      <c r="H73" s="75">
        <v>3810</v>
      </c>
      <c r="I73" s="75">
        <v>8151</v>
      </c>
    </row>
    <row r="74" spans="1:9" ht="25.5" x14ac:dyDescent="0.25">
      <c r="A74" s="209">
        <v>4</v>
      </c>
      <c r="B74" s="210"/>
      <c r="C74" s="211"/>
      <c r="D74" s="25" t="s">
        <v>5</v>
      </c>
      <c r="E74" s="65">
        <f>E75</f>
        <v>883.39372221116196</v>
      </c>
      <c r="F74" s="65">
        <f t="shared" ref="F74:I74" si="28">F75</f>
        <v>20306.589687437787</v>
      </c>
      <c r="G74" s="65">
        <f t="shared" si="28"/>
        <v>10617.82</v>
      </c>
      <c r="H74" s="65">
        <f t="shared" si="28"/>
        <v>3810</v>
      </c>
      <c r="I74" s="65">
        <f t="shared" si="28"/>
        <v>8151</v>
      </c>
    </row>
    <row r="75" spans="1:9" ht="25.5" x14ac:dyDescent="0.25">
      <c r="A75" s="212">
        <v>42</v>
      </c>
      <c r="B75" s="213"/>
      <c r="C75" s="214"/>
      <c r="D75" s="25" t="s">
        <v>158</v>
      </c>
      <c r="E75" s="65">
        <f>6655.93/7.5345</f>
        <v>883.39372221116196</v>
      </c>
      <c r="F75" s="65">
        <f>153000/7.5345</f>
        <v>20306.589687437787</v>
      </c>
      <c r="G75" s="65">
        <v>10617.82</v>
      </c>
      <c r="H75" s="65">
        <v>3810</v>
      </c>
      <c r="I75" s="65">
        <v>8151</v>
      </c>
    </row>
    <row r="76" spans="1:9" ht="29.25" customHeight="1" x14ac:dyDescent="0.25">
      <c r="A76" s="252" t="s">
        <v>210</v>
      </c>
      <c r="B76" s="253"/>
      <c r="C76" s="253"/>
      <c r="D76" s="254"/>
      <c r="E76" s="82"/>
      <c r="F76" s="82"/>
      <c r="G76" s="98">
        <f>G79</f>
        <v>19908.419999999998</v>
      </c>
      <c r="H76" s="98">
        <f t="shared" ref="H76:I76" si="29">H79</f>
        <v>225000</v>
      </c>
      <c r="I76" s="98">
        <f t="shared" si="29"/>
        <v>10000</v>
      </c>
    </row>
    <row r="77" spans="1:9" ht="15" customHeight="1" x14ac:dyDescent="0.25">
      <c r="A77" s="218" t="s">
        <v>88</v>
      </c>
      <c r="B77" s="219"/>
      <c r="C77" s="219"/>
      <c r="D77" s="219"/>
      <c r="E77" s="173"/>
      <c r="F77" s="173"/>
      <c r="G77" s="67">
        <v>19908.419999999998</v>
      </c>
      <c r="H77" s="67">
        <f>H76-H78</f>
        <v>98455.44</v>
      </c>
      <c r="I77" s="67"/>
    </row>
    <row r="78" spans="1:9" ht="15" customHeight="1" x14ac:dyDescent="0.25">
      <c r="A78" s="218" t="s">
        <v>90</v>
      </c>
      <c r="B78" s="219"/>
      <c r="C78" s="219"/>
      <c r="D78" s="219"/>
      <c r="E78" s="173"/>
      <c r="F78" s="173"/>
      <c r="G78" s="67"/>
      <c r="H78" s="67">
        <v>126544.56</v>
      </c>
      <c r="I78" s="67">
        <v>10000</v>
      </c>
    </row>
    <row r="79" spans="1:9" x14ac:dyDescent="0.25">
      <c r="A79" s="209">
        <v>3</v>
      </c>
      <c r="B79" s="210"/>
      <c r="C79" s="211"/>
      <c r="D79" s="25" t="s">
        <v>26</v>
      </c>
      <c r="E79" s="160"/>
      <c r="F79" s="160"/>
      <c r="G79" s="170">
        <f>G80</f>
        <v>19908.419999999998</v>
      </c>
      <c r="H79" s="170">
        <f>H80</f>
        <v>225000</v>
      </c>
      <c r="I79" s="170">
        <f>I80</f>
        <v>10000</v>
      </c>
    </row>
    <row r="80" spans="1:9" x14ac:dyDescent="0.25">
      <c r="A80" s="212">
        <v>32</v>
      </c>
      <c r="B80" s="213"/>
      <c r="C80" s="214"/>
      <c r="D80" s="25" t="s">
        <v>44</v>
      </c>
      <c r="E80" s="160"/>
      <c r="F80" s="160"/>
      <c r="G80" s="170">
        <v>19908.419999999998</v>
      </c>
      <c r="H80" s="170">
        <f>252000-27000</f>
        <v>225000</v>
      </c>
      <c r="I80" s="170">
        <v>10000</v>
      </c>
    </row>
    <row r="81" spans="1:9" x14ac:dyDescent="0.25">
      <c r="A81" s="231" t="s">
        <v>100</v>
      </c>
      <c r="B81" s="232"/>
      <c r="C81" s="232"/>
      <c r="D81" s="233"/>
      <c r="E81" s="105">
        <f>E82</f>
        <v>5646.6281770522255</v>
      </c>
      <c r="F81" s="105">
        <f t="shared" ref="F81:I81" si="30">F82</f>
        <v>1546.2207180303935</v>
      </c>
      <c r="G81" s="105">
        <f t="shared" si="30"/>
        <v>9834.76</v>
      </c>
      <c r="H81" s="105">
        <f t="shared" si="30"/>
        <v>9835</v>
      </c>
      <c r="I81" s="105">
        <f t="shared" si="30"/>
        <v>9835</v>
      </c>
    </row>
    <row r="82" spans="1:9" s="149" customFormat="1" x14ac:dyDescent="0.25">
      <c r="A82" s="228" t="s">
        <v>102</v>
      </c>
      <c r="B82" s="229"/>
      <c r="C82" s="229"/>
      <c r="D82" s="230"/>
      <c r="E82" s="79">
        <f>E86</f>
        <v>5646.6281770522255</v>
      </c>
      <c r="F82" s="79">
        <f t="shared" ref="F82:I82" si="31">F86</f>
        <v>1546.2207180303935</v>
      </c>
      <c r="G82" s="79">
        <f t="shared" si="31"/>
        <v>9834.76</v>
      </c>
      <c r="H82" s="79">
        <f t="shared" si="31"/>
        <v>9835</v>
      </c>
      <c r="I82" s="79">
        <f t="shared" si="31"/>
        <v>9835</v>
      </c>
    </row>
    <row r="83" spans="1:9" x14ac:dyDescent="0.25">
      <c r="A83" s="218" t="s">
        <v>90</v>
      </c>
      <c r="B83" s="219"/>
      <c r="C83" s="219"/>
      <c r="D83" s="219"/>
      <c r="E83" s="75">
        <f>29889.68/7.5345</f>
        <v>3967.0422722144799</v>
      </c>
      <c r="F83" s="75">
        <f>F85</f>
        <v>1546.2207180303935</v>
      </c>
      <c r="G83" s="75">
        <v>9834.76</v>
      </c>
      <c r="H83" s="75">
        <v>9835</v>
      </c>
      <c r="I83" s="75">
        <v>9835</v>
      </c>
    </row>
    <row r="84" spans="1:9" x14ac:dyDescent="0.25">
      <c r="A84" s="218" t="s">
        <v>88</v>
      </c>
      <c r="B84" s="219"/>
      <c r="C84" s="219"/>
      <c r="D84" s="219"/>
      <c r="E84" s="75">
        <f>12654.84/7.5345</f>
        <v>1679.5859048377463</v>
      </c>
      <c r="F84" s="75"/>
      <c r="G84" s="75"/>
      <c r="H84" s="75"/>
      <c r="I84" s="75"/>
    </row>
    <row r="85" spans="1:9" x14ac:dyDescent="0.25">
      <c r="A85" s="209">
        <v>3</v>
      </c>
      <c r="B85" s="210"/>
      <c r="C85" s="211"/>
      <c r="D85" s="25" t="s">
        <v>26</v>
      </c>
      <c r="E85" s="65">
        <f>E86</f>
        <v>5646.6281770522255</v>
      </c>
      <c r="F85" s="65">
        <f t="shared" ref="F85:I85" si="32">F86</f>
        <v>1546.2207180303935</v>
      </c>
      <c r="G85" s="65">
        <f t="shared" si="32"/>
        <v>9834.76</v>
      </c>
      <c r="H85" s="65">
        <f t="shared" si="32"/>
        <v>9835</v>
      </c>
      <c r="I85" s="65">
        <f t="shared" si="32"/>
        <v>9835</v>
      </c>
    </row>
    <row r="86" spans="1:9" x14ac:dyDescent="0.25">
      <c r="A86" s="212">
        <v>31</v>
      </c>
      <c r="B86" s="213"/>
      <c r="C86" s="214"/>
      <c r="D86" s="25" t="s">
        <v>29</v>
      </c>
      <c r="E86" s="65">
        <f>42544.52/7.5345</f>
        <v>5646.6281770522255</v>
      </c>
      <c r="F86" s="65">
        <f>11650/7.5345</f>
        <v>1546.2207180303935</v>
      </c>
      <c r="G86" s="65">
        <v>9834.76</v>
      </c>
      <c r="H86" s="65">
        <v>9835</v>
      </c>
      <c r="I86" s="65">
        <v>9835</v>
      </c>
    </row>
    <row r="87" spans="1:9" x14ac:dyDescent="0.25">
      <c r="A87" s="123" t="s">
        <v>103</v>
      </c>
      <c r="B87" s="123"/>
      <c r="C87" s="123"/>
      <c r="D87" s="123"/>
      <c r="E87" s="124">
        <f>E88+E95</f>
        <v>18591.112880748555</v>
      </c>
      <c r="F87" s="124">
        <f t="shared" ref="F87:I87" si="33">F88+F95</f>
        <v>27739.066958656844</v>
      </c>
      <c r="G87" s="124">
        <f t="shared" si="33"/>
        <v>27739.06</v>
      </c>
      <c r="H87" s="124">
        <f t="shared" si="33"/>
        <v>27300</v>
      </c>
      <c r="I87" s="124">
        <f t="shared" si="33"/>
        <v>27300</v>
      </c>
    </row>
    <row r="88" spans="1:9" x14ac:dyDescent="0.25">
      <c r="A88" s="102" t="s">
        <v>104</v>
      </c>
      <c r="B88" s="102"/>
      <c r="C88" s="102"/>
      <c r="D88" s="102"/>
      <c r="E88" s="105">
        <f>E89</f>
        <v>15042.104983741456</v>
      </c>
      <c r="F88" s="105">
        <f t="shared" ref="F88:I88" si="34">F89</f>
        <v>22430.154622071801</v>
      </c>
      <c r="G88" s="105">
        <f t="shared" si="34"/>
        <v>22430.15</v>
      </c>
      <c r="H88" s="105">
        <f t="shared" si="34"/>
        <v>22000</v>
      </c>
      <c r="I88" s="105">
        <f t="shared" si="34"/>
        <v>22000</v>
      </c>
    </row>
    <row r="89" spans="1:9" x14ac:dyDescent="0.25">
      <c r="A89" s="215" t="s">
        <v>163</v>
      </c>
      <c r="B89" s="216"/>
      <c r="C89" s="216"/>
      <c r="D89" s="217"/>
      <c r="E89" s="289">
        <f>E91</f>
        <v>15042.104983741456</v>
      </c>
      <c r="F89" s="289">
        <f t="shared" ref="F89:I89" si="35">F91</f>
        <v>22430.154622071801</v>
      </c>
      <c r="G89" s="289">
        <f t="shared" si="35"/>
        <v>22430.15</v>
      </c>
      <c r="H89" s="289">
        <f t="shared" si="35"/>
        <v>22000</v>
      </c>
      <c r="I89" s="289">
        <f t="shared" si="35"/>
        <v>22000</v>
      </c>
    </row>
    <row r="90" spans="1:9" x14ac:dyDescent="0.25">
      <c r="A90" s="87" t="s">
        <v>105</v>
      </c>
      <c r="B90" s="95"/>
      <c r="C90" s="95"/>
      <c r="D90" s="95"/>
      <c r="E90" s="290"/>
      <c r="F90" s="290"/>
      <c r="G90" s="290"/>
      <c r="H90" s="290"/>
      <c r="I90" s="290"/>
    </row>
    <row r="91" spans="1:9" x14ac:dyDescent="0.25">
      <c r="A91" s="218" t="s">
        <v>88</v>
      </c>
      <c r="B91" s="219"/>
      <c r="C91" s="219"/>
      <c r="D91" s="219"/>
      <c r="E91" s="75">
        <f>E92</f>
        <v>15042.104983741456</v>
      </c>
      <c r="F91" s="75">
        <f t="shared" ref="F91:I91" si="36">F92</f>
        <v>22430.154622071801</v>
      </c>
      <c r="G91" s="75">
        <f t="shared" si="36"/>
        <v>22430.15</v>
      </c>
      <c r="H91" s="75">
        <f t="shared" si="36"/>
        <v>22000</v>
      </c>
      <c r="I91" s="75">
        <f t="shared" si="36"/>
        <v>22000</v>
      </c>
    </row>
    <row r="92" spans="1:9" x14ac:dyDescent="0.25">
      <c r="A92" s="209">
        <v>3</v>
      </c>
      <c r="B92" s="210"/>
      <c r="C92" s="211"/>
      <c r="D92" s="25" t="s">
        <v>26</v>
      </c>
      <c r="E92" s="65">
        <f>E93+E94</f>
        <v>15042.104983741456</v>
      </c>
      <c r="F92" s="65">
        <f t="shared" ref="F92:I92" si="37">F93+F94</f>
        <v>22430.154622071801</v>
      </c>
      <c r="G92" s="65">
        <f t="shared" si="37"/>
        <v>22430.15</v>
      </c>
      <c r="H92" s="65">
        <f t="shared" si="37"/>
        <v>22000</v>
      </c>
      <c r="I92" s="65">
        <f t="shared" si="37"/>
        <v>22000</v>
      </c>
    </row>
    <row r="93" spans="1:9" x14ac:dyDescent="0.25">
      <c r="A93" s="212">
        <v>35</v>
      </c>
      <c r="B93" s="213"/>
      <c r="C93" s="214"/>
      <c r="D93" s="25" t="s">
        <v>65</v>
      </c>
      <c r="E93" s="65">
        <f>89334.74/7.5345</f>
        <v>11856.757581790431</v>
      </c>
      <c r="F93" s="65">
        <f>145000/7.5345</f>
        <v>19244.807220120776</v>
      </c>
      <c r="G93" s="65">
        <v>19244.810000000001</v>
      </c>
      <c r="H93" s="65">
        <v>18814</v>
      </c>
      <c r="I93" s="65">
        <v>18814</v>
      </c>
    </row>
    <row r="94" spans="1:9" ht="25.5" x14ac:dyDescent="0.25">
      <c r="A94" s="269">
        <v>36</v>
      </c>
      <c r="B94" s="270"/>
      <c r="C94" s="271"/>
      <c r="D94" s="50" t="s">
        <v>66</v>
      </c>
      <c r="E94" s="65">
        <f>24000/7.5345</f>
        <v>3185.3474019510249</v>
      </c>
      <c r="F94" s="65">
        <f>24000/7.5345</f>
        <v>3185.3474019510249</v>
      </c>
      <c r="G94" s="65">
        <v>3185.34</v>
      </c>
      <c r="H94" s="65">
        <v>3186</v>
      </c>
      <c r="I94" s="65">
        <v>3186</v>
      </c>
    </row>
    <row r="95" spans="1:9" x14ac:dyDescent="0.25">
      <c r="A95" s="255" t="s">
        <v>106</v>
      </c>
      <c r="B95" s="256"/>
      <c r="C95" s="256"/>
      <c r="D95" s="256"/>
      <c r="E95" s="101">
        <f>E96</f>
        <v>3549.0078970071004</v>
      </c>
      <c r="F95" s="101">
        <f t="shared" ref="F95:I98" si="38">F96</f>
        <v>5308.9123365850419</v>
      </c>
      <c r="G95" s="101">
        <f t="shared" si="38"/>
        <v>5308.91</v>
      </c>
      <c r="H95" s="101">
        <f t="shared" si="38"/>
        <v>5300</v>
      </c>
      <c r="I95" s="101">
        <f t="shared" si="38"/>
        <v>5300</v>
      </c>
    </row>
    <row r="96" spans="1:9" x14ac:dyDescent="0.25">
      <c r="A96" s="286" t="s">
        <v>164</v>
      </c>
      <c r="B96" s="287"/>
      <c r="C96" s="287"/>
      <c r="D96" s="287"/>
      <c r="E96" s="84">
        <f>E97</f>
        <v>3549.0078970071004</v>
      </c>
      <c r="F96" s="84">
        <f t="shared" si="38"/>
        <v>5308.9123365850419</v>
      </c>
      <c r="G96" s="84">
        <f t="shared" si="38"/>
        <v>5308.91</v>
      </c>
      <c r="H96" s="84">
        <f t="shared" si="38"/>
        <v>5300</v>
      </c>
      <c r="I96" s="84">
        <f t="shared" si="38"/>
        <v>5300</v>
      </c>
    </row>
    <row r="97" spans="1:9" x14ac:dyDescent="0.25">
      <c r="A97" s="218" t="s">
        <v>88</v>
      </c>
      <c r="B97" s="219"/>
      <c r="C97" s="219"/>
      <c r="D97" s="219"/>
      <c r="E97" s="75">
        <f>E98</f>
        <v>3549.0078970071004</v>
      </c>
      <c r="F97" s="75">
        <f t="shared" si="38"/>
        <v>5308.9123365850419</v>
      </c>
      <c r="G97" s="75">
        <f t="shared" si="38"/>
        <v>5308.91</v>
      </c>
      <c r="H97" s="75">
        <f t="shared" si="38"/>
        <v>5300</v>
      </c>
      <c r="I97" s="75">
        <f t="shared" si="38"/>
        <v>5300</v>
      </c>
    </row>
    <row r="98" spans="1:9" x14ac:dyDescent="0.25">
      <c r="A98" s="209">
        <v>3</v>
      </c>
      <c r="B98" s="210"/>
      <c r="C98" s="211"/>
      <c r="D98" s="25" t="s">
        <v>26</v>
      </c>
      <c r="E98" s="65">
        <f>E99</f>
        <v>3549.0078970071004</v>
      </c>
      <c r="F98" s="65">
        <f t="shared" si="38"/>
        <v>5308.9123365850419</v>
      </c>
      <c r="G98" s="65">
        <f t="shared" si="38"/>
        <v>5308.91</v>
      </c>
      <c r="H98" s="65">
        <f t="shared" si="38"/>
        <v>5300</v>
      </c>
      <c r="I98" s="65">
        <f t="shared" si="38"/>
        <v>5300</v>
      </c>
    </row>
    <row r="99" spans="1:9" x14ac:dyDescent="0.25">
      <c r="A99" s="212">
        <v>35</v>
      </c>
      <c r="B99" s="213"/>
      <c r="C99" s="214"/>
      <c r="D99" s="25" t="s">
        <v>65</v>
      </c>
      <c r="E99" s="65">
        <f>26740/7.5345</f>
        <v>3549.0078970071004</v>
      </c>
      <c r="F99" s="65">
        <f>40000/7.5345</f>
        <v>5308.9123365850419</v>
      </c>
      <c r="G99" s="65">
        <v>5308.91</v>
      </c>
      <c r="H99" s="65">
        <v>5300</v>
      </c>
      <c r="I99" s="65">
        <v>5300</v>
      </c>
    </row>
    <row r="100" spans="1:9" x14ac:dyDescent="0.25">
      <c r="A100" s="126" t="s">
        <v>107</v>
      </c>
      <c r="B100" s="126"/>
      <c r="C100" s="126"/>
      <c r="D100" s="126"/>
      <c r="E100" s="238">
        <f>E102+E128+E186+E193+E212+E218+E245</f>
        <v>1244640.3809144602</v>
      </c>
      <c r="F100" s="238">
        <f>F102+F128+F186+F193+F212+F218+F245</f>
        <v>877470.30327161716</v>
      </c>
      <c r="G100" s="238">
        <f>G102+G128+G186+G193+G212+G218+G245</f>
        <v>742849.55999999994</v>
      </c>
      <c r="H100" s="238">
        <f>H102+H128+H186+H193+H212+H218+H245</f>
        <v>580677</v>
      </c>
      <c r="I100" s="238">
        <f>I102+I128+I186+I193+I212+I218+I245</f>
        <v>817931.07000000007</v>
      </c>
    </row>
    <row r="101" spans="1:9" x14ac:dyDescent="0.25">
      <c r="A101" s="291" t="s">
        <v>108</v>
      </c>
      <c r="B101" s="292"/>
      <c r="C101" s="292"/>
      <c r="D101" s="293"/>
      <c r="E101" s="239"/>
      <c r="F101" s="239"/>
      <c r="G101" s="239"/>
      <c r="H101" s="239"/>
      <c r="I101" s="239"/>
    </row>
    <row r="102" spans="1:9" x14ac:dyDescent="0.25">
      <c r="A102" s="231" t="s">
        <v>109</v>
      </c>
      <c r="B102" s="232"/>
      <c r="C102" s="232"/>
      <c r="D102" s="233"/>
      <c r="E102" s="104">
        <f>E103+E110+E117+E122</f>
        <v>106369.35563076513</v>
      </c>
      <c r="F102" s="104">
        <f t="shared" ref="F102" si="39">F103+F110+F117+F122</f>
        <v>207989.91306656049</v>
      </c>
      <c r="G102" s="104">
        <f>G103+G110+G117+G122</f>
        <v>207180.30999999997</v>
      </c>
      <c r="H102" s="104">
        <f>H103+H110+H117+H122</f>
        <v>199060</v>
      </c>
      <c r="I102" s="104">
        <f>I103+I110+I117+I122</f>
        <v>304078</v>
      </c>
    </row>
    <row r="103" spans="1:9" x14ac:dyDescent="0.25">
      <c r="A103" s="215" t="s">
        <v>166</v>
      </c>
      <c r="B103" s="216"/>
      <c r="C103" s="216"/>
      <c r="D103" s="216"/>
      <c r="E103" s="294">
        <f>E108</f>
        <v>65840.680868007155</v>
      </c>
      <c r="F103" s="294">
        <f t="shared" ref="F103:I103" si="40">F108</f>
        <v>171876.03689694073</v>
      </c>
      <c r="G103" s="294">
        <f t="shared" si="40"/>
        <v>166567.13</v>
      </c>
      <c r="H103" s="294">
        <f t="shared" si="40"/>
        <v>168000</v>
      </c>
      <c r="I103" s="294">
        <f t="shared" si="40"/>
        <v>273018</v>
      </c>
    </row>
    <row r="104" spans="1:9" x14ac:dyDescent="0.25">
      <c r="A104" s="220" t="s">
        <v>165</v>
      </c>
      <c r="B104" s="221"/>
      <c r="C104" s="221"/>
      <c r="D104" s="221"/>
      <c r="E104" s="295"/>
      <c r="F104" s="295"/>
      <c r="G104" s="295"/>
      <c r="H104" s="295"/>
      <c r="I104" s="295"/>
    </row>
    <row r="105" spans="1:9" x14ac:dyDescent="0.25">
      <c r="A105" s="218" t="s">
        <v>169</v>
      </c>
      <c r="B105" s="219"/>
      <c r="C105" s="219"/>
      <c r="D105" s="219"/>
      <c r="E105" s="58">
        <f>144953.76/7.5345</f>
        <v>19238.670117459686</v>
      </c>
      <c r="F105" s="75">
        <f>795400/7.5345</f>
        <v>105567.72181299355</v>
      </c>
      <c r="G105" s="75">
        <f>18000+2787.18+132.72+26.54+67000+2521.73</f>
        <v>90468.17</v>
      </c>
      <c r="H105" s="75">
        <v>87172</v>
      </c>
      <c r="I105" s="75">
        <v>97054</v>
      </c>
    </row>
    <row r="106" spans="1:9" x14ac:dyDescent="0.25">
      <c r="A106" s="218" t="s">
        <v>88</v>
      </c>
      <c r="B106" s="219"/>
      <c r="C106" s="219"/>
      <c r="D106" s="219"/>
      <c r="E106" s="58">
        <f>351122.85/7.5345</f>
        <v>46602.010750547473</v>
      </c>
      <c r="F106" s="75">
        <f>368600/7.5345</f>
        <v>48921.627181631164</v>
      </c>
      <c r="G106" s="75">
        <f>G103-G105-G107</f>
        <v>54098.960000000006</v>
      </c>
      <c r="H106" s="75">
        <f>H103-H105-H107</f>
        <v>58578</v>
      </c>
      <c r="I106" s="75"/>
    </row>
    <row r="107" spans="1:9" x14ac:dyDescent="0.25">
      <c r="A107" s="218" t="s">
        <v>90</v>
      </c>
      <c r="B107" s="219"/>
      <c r="C107" s="219"/>
      <c r="D107" s="219"/>
      <c r="E107" s="58"/>
      <c r="F107" s="75">
        <f>131000/7.5345</f>
        <v>17386.687902316011</v>
      </c>
      <c r="G107" s="75">
        <f>10000+12000</f>
        <v>22000</v>
      </c>
      <c r="H107" s="75">
        <v>22250</v>
      </c>
      <c r="I107" s="75">
        <f>18483+2533.17</f>
        <v>21016.17</v>
      </c>
    </row>
    <row r="108" spans="1:9" x14ac:dyDescent="0.25">
      <c r="A108" s="209">
        <v>3</v>
      </c>
      <c r="B108" s="210"/>
      <c r="C108" s="211"/>
      <c r="D108" s="25" t="s">
        <v>26</v>
      </c>
      <c r="E108" s="52">
        <f>E109</f>
        <v>65840.680868007155</v>
      </c>
      <c r="F108" s="52">
        <f t="shared" ref="F108:I108" si="41">F109</f>
        <v>171876.03689694073</v>
      </c>
      <c r="G108" s="52">
        <f t="shared" si="41"/>
        <v>166567.13</v>
      </c>
      <c r="H108" s="52">
        <f t="shared" si="41"/>
        <v>168000</v>
      </c>
      <c r="I108" s="52">
        <f t="shared" si="41"/>
        <v>273018</v>
      </c>
    </row>
    <row r="109" spans="1:9" x14ac:dyDescent="0.25">
      <c r="A109" s="212">
        <v>32</v>
      </c>
      <c r="B109" s="213"/>
      <c r="C109" s="214"/>
      <c r="D109" s="25" t="s">
        <v>44</v>
      </c>
      <c r="E109" s="52">
        <f>496076.61/7.5345</f>
        <v>65840.680868007155</v>
      </c>
      <c r="F109" s="65">
        <f>1295000/7.5345</f>
        <v>171876.03689694073</v>
      </c>
      <c r="G109" s="65">
        <f>168956.14-2389.01</f>
        <v>166567.13</v>
      </c>
      <c r="H109" s="65">
        <v>168000</v>
      </c>
      <c r="I109" s="65">
        <v>273018</v>
      </c>
    </row>
    <row r="110" spans="1:9" x14ac:dyDescent="0.25">
      <c r="A110" s="83" t="s">
        <v>167</v>
      </c>
      <c r="B110" s="83"/>
      <c r="C110" s="83"/>
      <c r="D110" s="83"/>
      <c r="E110" s="90">
        <f>E113+E115</f>
        <v>4462.8044329418008</v>
      </c>
      <c r="F110" s="90">
        <f t="shared" ref="F110:I110" si="42">F113+F115</f>
        <v>2269.5600238901052</v>
      </c>
      <c r="G110" s="90">
        <f t="shared" si="42"/>
        <v>10750.550000000001</v>
      </c>
      <c r="H110" s="90">
        <f t="shared" si="42"/>
        <v>400</v>
      </c>
      <c r="I110" s="90">
        <f t="shared" si="42"/>
        <v>400</v>
      </c>
    </row>
    <row r="111" spans="1:9" x14ac:dyDescent="0.25">
      <c r="A111" s="59" t="s">
        <v>88</v>
      </c>
      <c r="B111" s="59"/>
      <c r="C111" s="59"/>
      <c r="D111" s="59"/>
      <c r="E111" s="66">
        <f>E110</f>
        <v>4462.8044329418008</v>
      </c>
      <c r="F111" s="75"/>
      <c r="G111" s="75"/>
      <c r="H111" s="75"/>
      <c r="I111" s="75"/>
    </row>
    <row r="112" spans="1:9" x14ac:dyDescent="0.25">
      <c r="A112" s="218" t="s">
        <v>169</v>
      </c>
      <c r="B112" s="219"/>
      <c r="C112" s="219"/>
      <c r="D112" s="219"/>
      <c r="E112" s="66"/>
      <c r="F112" s="75">
        <f>17100/7.5345</f>
        <v>2269.5600238901052</v>
      </c>
      <c r="G112" s="75">
        <f>2389.01+8361.54</f>
        <v>10750.550000000001</v>
      </c>
      <c r="H112" s="75">
        <v>400</v>
      </c>
      <c r="I112" s="75">
        <v>400</v>
      </c>
    </row>
    <row r="113" spans="1:9" x14ac:dyDescent="0.25">
      <c r="A113" s="209">
        <v>3</v>
      </c>
      <c r="B113" s="210"/>
      <c r="C113" s="211"/>
      <c r="D113" s="25" t="s">
        <v>26</v>
      </c>
      <c r="E113" s="52">
        <f>E114</f>
        <v>3235.1184551065098</v>
      </c>
      <c r="F113" s="52">
        <f t="shared" ref="F113:I113" si="43">F114</f>
        <v>132.72280841462606</v>
      </c>
      <c r="G113" s="52">
        <f t="shared" si="43"/>
        <v>10750.550000000001</v>
      </c>
      <c r="H113" s="52">
        <f t="shared" si="43"/>
        <v>400</v>
      </c>
      <c r="I113" s="52">
        <f t="shared" si="43"/>
        <v>400</v>
      </c>
    </row>
    <row r="114" spans="1:9" x14ac:dyDescent="0.25">
      <c r="A114" s="212">
        <v>32</v>
      </c>
      <c r="B114" s="213"/>
      <c r="C114" s="214"/>
      <c r="D114" s="25" t="s">
        <v>44</v>
      </c>
      <c r="E114" s="52">
        <f>24375/7.5345</f>
        <v>3235.1184551065098</v>
      </c>
      <c r="F114" s="65">
        <f>1000/7.5345</f>
        <v>132.72280841462606</v>
      </c>
      <c r="G114" s="65">
        <f>8361.54+2389.01</f>
        <v>10750.550000000001</v>
      </c>
      <c r="H114" s="65">
        <v>400</v>
      </c>
      <c r="I114" s="65">
        <v>400</v>
      </c>
    </row>
    <row r="115" spans="1:9" ht="25.5" x14ac:dyDescent="0.25">
      <c r="A115" s="209">
        <v>4</v>
      </c>
      <c r="B115" s="210"/>
      <c r="C115" s="211"/>
      <c r="D115" s="25" t="s">
        <v>5</v>
      </c>
      <c r="E115" s="52">
        <f>E116</f>
        <v>1227.6859778352909</v>
      </c>
      <c r="F115" s="52">
        <f t="shared" ref="F115:I115" si="44">F116</f>
        <v>2136.8372154754793</v>
      </c>
      <c r="G115" s="52">
        <f t="shared" si="44"/>
        <v>0</v>
      </c>
      <c r="H115" s="52">
        <f t="shared" si="44"/>
        <v>0</v>
      </c>
      <c r="I115" s="52">
        <f t="shared" si="44"/>
        <v>0</v>
      </c>
    </row>
    <row r="116" spans="1:9" ht="25.5" x14ac:dyDescent="0.25">
      <c r="A116" s="212">
        <v>42</v>
      </c>
      <c r="B116" s="213"/>
      <c r="C116" s="214"/>
      <c r="D116" s="25" t="s">
        <v>158</v>
      </c>
      <c r="E116" s="52">
        <f>9250/7.5345</f>
        <v>1227.6859778352909</v>
      </c>
      <c r="F116" s="65">
        <f>16100/7.5345</f>
        <v>2136.8372154754793</v>
      </c>
      <c r="G116" s="65"/>
      <c r="H116" s="65"/>
      <c r="I116" s="65"/>
    </row>
    <row r="117" spans="1:9" x14ac:dyDescent="0.25">
      <c r="A117" s="228" t="s">
        <v>168</v>
      </c>
      <c r="B117" s="229"/>
      <c r="C117" s="229"/>
      <c r="D117" s="230"/>
      <c r="E117" s="82">
        <f>E120</f>
        <v>2682.0213683721545</v>
      </c>
      <c r="F117" s="82">
        <f t="shared" ref="F117:I117" si="45">F120</f>
        <v>663.61404207313024</v>
      </c>
      <c r="G117" s="82">
        <f t="shared" si="45"/>
        <v>663.61</v>
      </c>
      <c r="H117" s="82">
        <f t="shared" si="45"/>
        <v>660</v>
      </c>
      <c r="I117" s="82">
        <f t="shared" si="45"/>
        <v>660</v>
      </c>
    </row>
    <row r="118" spans="1:9" x14ac:dyDescent="0.25">
      <c r="A118" s="218" t="s">
        <v>169</v>
      </c>
      <c r="B118" s="219"/>
      <c r="C118" s="219"/>
      <c r="D118" s="219"/>
      <c r="E118" s="58">
        <f>1198.29/7.5345</f>
        <v>159.04041409516225</v>
      </c>
      <c r="F118" s="75">
        <f>3000/7.5345</f>
        <v>398.16842524387812</v>
      </c>
      <c r="G118" s="75">
        <f>132.72</f>
        <v>132.72</v>
      </c>
      <c r="H118" s="75">
        <v>132.72</v>
      </c>
      <c r="I118" s="75">
        <v>132.72</v>
      </c>
    </row>
    <row r="119" spans="1:9" x14ac:dyDescent="0.25">
      <c r="A119" s="218" t="s">
        <v>88</v>
      </c>
      <c r="B119" s="219"/>
      <c r="C119" s="219"/>
      <c r="D119" s="219"/>
      <c r="E119" s="58">
        <f>19009.4/7.5345</f>
        <v>2522.9809542769926</v>
      </c>
      <c r="F119" s="75">
        <f>2000/7.5345</f>
        <v>265.44561682925212</v>
      </c>
      <c r="G119" s="75">
        <f>G117-G118</f>
        <v>530.89</v>
      </c>
      <c r="H119" s="75">
        <f>H117-H118</f>
        <v>527.28</v>
      </c>
      <c r="I119" s="75">
        <f>I117-I118</f>
        <v>527.28</v>
      </c>
    </row>
    <row r="120" spans="1:9" x14ac:dyDescent="0.25">
      <c r="A120" s="209">
        <v>3</v>
      </c>
      <c r="B120" s="210"/>
      <c r="C120" s="211"/>
      <c r="D120" s="25" t="s">
        <v>26</v>
      </c>
      <c r="E120" s="52">
        <f>E121</f>
        <v>2682.0213683721545</v>
      </c>
      <c r="F120" s="52">
        <f t="shared" ref="F120:I120" si="46">F121</f>
        <v>663.61404207313024</v>
      </c>
      <c r="G120" s="52">
        <f t="shared" si="46"/>
        <v>663.61</v>
      </c>
      <c r="H120" s="52">
        <f t="shared" si="46"/>
        <v>660</v>
      </c>
      <c r="I120" s="52">
        <f t="shared" si="46"/>
        <v>660</v>
      </c>
    </row>
    <row r="121" spans="1:9" x14ac:dyDescent="0.25">
      <c r="A121" s="212">
        <v>32</v>
      </c>
      <c r="B121" s="213"/>
      <c r="C121" s="214"/>
      <c r="D121" s="25" t="s">
        <v>44</v>
      </c>
      <c r="E121" s="52">
        <f>20207.69/7.5345</f>
        <v>2682.0213683721545</v>
      </c>
      <c r="F121" s="65">
        <f>5000/7.5345</f>
        <v>663.61404207313024</v>
      </c>
      <c r="G121" s="65">
        <v>663.61</v>
      </c>
      <c r="H121" s="65">
        <v>660</v>
      </c>
      <c r="I121" s="65">
        <v>660</v>
      </c>
    </row>
    <row r="122" spans="1:9" x14ac:dyDescent="0.25">
      <c r="A122" s="228" t="s">
        <v>171</v>
      </c>
      <c r="B122" s="229"/>
      <c r="C122" s="229"/>
      <c r="D122" s="230"/>
      <c r="E122" s="82">
        <f>E126</f>
        <v>33383.848961444019</v>
      </c>
      <c r="F122" s="82">
        <f t="shared" ref="F122:I122" si="47">F126</f>
        <v>33180.702103656513</v>
      </c>
      <c r="G122" s="82">
        <f t="shared" si="47"/>
        <v>29199.02</v>
      </c>
      <c r="H122" s="82">
        <f t="shared" si="47"/>
        <v>30000</v>
      </c>
      <c r="I122" s="82">
        <f t="shared" si="47"/>
        <v>30000</v>
      </c>
    </row>
    <row r="123" spans="1:9" x14ac:dyDescent="0.25">
      <c r="A123" s="275" t="s">
        <v>88</v>
      </c>
      <c r="B123" s="276"/>
      <c r="C123" s="276"/>
      <c r="D123" s="297"/>
      <c r="E123" s="67">
        <f>230381.61/7.5345</f>
        <v>30576.894286283095</v>
      </c>
      <c r="F123" s="75">
        <f>221000/7.5345</f>
        <v>29331.740659632356</v>
      </c>
      <c r="G123" s="75">
        <f>G122-G124-G125</f>
        <v>16748.489999999998</v>
      </c>
      <c r="H123" s="75">
        <f>H122-H124-H125</f>
        <v>16975.72</v>
      </c>
      <c r="I123" s="75"/>
    </row>
    <row r="124" spans="1:9" x14ac:dyDescent="0.25">
      <c r="A124" s="218" t="s">
        <v>169</v>
      </c>
      <c r="B124" s="219"/>
      <c r="C124" s="219"/>
      <c r="D124" s="219"/>
      <c r="E124" s="67"/>
      <c r="F124" s="75"/>
      <c r="G124" s="75">
        <v>7905.97</v>
      </c>
      <c r="H124" s="75">
        <v>8106.28</v>
      </c>
      <c r="I124" s="75">
        <v>10000</v>
      </c>
    </row>
    <row r="125" spans="1:9" x14ac:dyDescent="0.25">
      <c r="A125" s="59" t="s">
        <v>101</v>
      </c>
      <c r="B125" s="59"/>
      <c r="C125" s="59"/>
      <c r="D125" s="59"/>
      <c r="E125" s="66">
        <f>21149/7.5345</f>
        <v>2806.9546751609264</v>
      </c>
      <c r="F125" s="75">
        <f>29000/7.5345</f>
        <v>3848.9614440241553</v>
      </c>
      <c r="G125" s="75">
        <f>4544.56</f>
        <v>4544.5600000000004</v>
      </c>
      <c r="H125" s="75">
        <v>4918</v>
      </c>
      <c r="I125" s="75">
        <v>5000</v>
      </c>
    </row>
    <row r="126" spans="1:9" x14ac:dyDescent="0.25">
      <c r="A126" s="209">
        <v>3</v>
      </c>
      <c r="B126" s="210"/>
      <c r="C126" s="211"/>
      <c r="D126" s="25" t="s">
        <v>26</v>
      </c>
      <c r="E126" s="65">
        <f>E127</f>
        <v>33383.848961444019</v>
      </c>
      <c r="F126" s="65">
        <f t="shared" ref="F126:I126" si="48">F127</f>
        <v>33180.702103656513</v>
      </c>
      <c r="G126" s="65">
        <f t="shared" si="48"/>
        <v>29199.02</v>
      </c>
      <c r="H126" s="65">
        <f t="shared" si="48"/>
        <v>30000</v>
      </c>
      <c r="I126" s="65">
        <f t="shared" si="48"/>
        <v>30000</v>
      </c>
    </row>
    <row r="127" spans="1:9" x14ac:dyDescent="0.25">
      <c r="A127" s="212">
        <v>32</v>
      </c>
      <c r="B127" s="213"/>
      <c r="C127" s="214"/>
      <c r="D127" s="25" t="s">
        <v>44</v>
      </c>
      <c r="E127" s="65">
        <f>251530.61/7.5345</f>
        <v>33383.848961444019</v>
      </c>
      <c r="F127" s="65">
        <f>250000/7.5345</f>
        <v>33180.702103656513</v>
      </c>
      <c r="G127" s="65">
        <v>29199.02</v>
      </c>
      <c r="H127" s="65">
        <v>30000</v>
      </c>
      <c r="I127" s="65">
        <v>30000</v>
      </c>
    </row>
    <row r="128" spans="1:9" x14ac:dyDescent="0.25">
      <c r="A128" s="231" t="s">
        <v>110</v>
      </c>
      <c r="B128" s="232"/>
      <c r="C128" s="232"/>
      <c r="D128" s="233"/>
      <c r="E128" s="104">
        <f>E129+E164+E180</f>
        <v>187086.22337248654</v>
      </c>
      <c r="F128" s="104">
        <f>F129+F164+F180+F142+F149+F154+F159+F170</f>
        <v>242617.2937819364</v>
      </c>
      <c r="G128" s="104">
        <f>G129+G164+G180+G142+G149+G154+G159+G170+G136+G174</f>
        <v>221647.08999999997</v>
      </c>
      <c r="H128" s="104">
        <f t="shared" ref="H128:I128" si="49">H129+H164+H180+H142+H149+H154+H159+H170+H136</f>
        <v>332487</v>
      </c>
      <c r="I128" s="104">
        <f t="shared" si="49"/>
        <v>471023.07</v>
      </c>
    </row>
    <row r="129" spans="1:9" x14ac:dyDescent="0.25">
      <c r="A129" s="246" t="s">
        <v>172</v>
      </c>
      <c r="B129" s="247"/>
      <c r="C129" s="247"/>
      <c r="D129" s="296"/>
      <c r="E129" s="289">
        <f>E134</f>
        <v>137256.22536332867</v>
      </c>
      <c r="F129" s="289">
        <f t="shared" ref="F129:I129" si="50">F134</f>
        <v>22562.877430486427</v>
      </c>
      <c r="G129" s="289">
        <f t="shared" si="50"/>
        <v>0</v>
      </c>
      <c r="H129" s="289">
        <f t="shared" si="50"/>
        <v>332487</v>
      </c>
      <c r="I129" s="289">
        <f t="shared" si="50"/>
        <v>471023.07</v>
      </c>
    </row>
    <row r="130" spans="1:9" x14ac:dyDescent="0.25">
      <c r="A130" s="220" t="s">
        <v>170</v>
      </c>
      <c r="B130" s="221"/>
      <c r="C130" s="221"/>
      <c r="D130" s="222"/>
      <c r="E130" s="290"/>
      <c r="F130" s="290"/>
      <c r="G130" s="290"/>
      <c r="H130" s="290"/>
      <c r="I130" s="290"/>
    </row>
    <row r="131" spans="1:9" x14ac:dyDescent="0.25">
      <c r="A131" s="59" t="s">
        <v>95</v>
      </c>
      <c r="B131" s="59"/>
      <c r="C131" s="59"/>
      <c r="D131" s="59"/>
      <c r="E131" s="66">
        <f>573558.08/7.5345</f>
        <v>76124.23916650076</v>
      </c>
      <c r="F131" s="75">
        <f>100000/7.5345</f>
        <v>13272.280841462605</v>
      </c>
      <c r="G131" s="75"/>
      <c r="H131" s="75">
        <v>30000</v>
      </c>
      <c r="I131" s="75">
        <v>15267.28</v>
      </c>
    </row>
    <row r="132" spans="1:9" x14ac:dyDescent="0.25">
      <c r="A132" s="59" t="s">
        <v>88</v>
      </c>
      <c r="B132" s="59"/>
      <c r="C132" s="59"/>
      <c r="D132" s="59"/>
      <c r="E132" s="66">
        <f>131912.95/7.5345</f>
        <v>17507.857190258146</v>
      </c>
      <c r="F132" s="75">
        <f>30000/7.5345</f>
        <v>3981.6842524387812</v>
      </c>
      <c r="G132" s="75"/>
      <c r="H132" s="75">
        <f>H129-H131-H133</f>
        <v>200194.56</v>
      </c>
      <c r="I132" s="75">
        <v>15400</v>
      </c>
    </row>
    <row r="133" spans="1:9" x14ac:dyDescent="0.25">
      <c r="A133" s="59" t="s">
        <v>101</v>
      </c>
      <c r="B133" s="59"/>
      <c r="C133" s="59"/>
      <c r="D133" s="59"/>
      <c r="E133" s="66">
        <f>328686/7.5345</f>
        <v>43624.129006569776</v>
      </c>
      <c r="F133" s="75">
        <f>40000/7.5345</f>
        <v>5308.9123365850419</v>
      </c>
      <c r="G133" s="75"/>
      <c r="H133" s="75">
        <f>75000+27292.44</f>
        <v>102292.44</v>
      </c>
      <c r="I133" s="75">
        <v>248729</v>
      </c>
    </row>
    <row r="134" spans="1:9" ht="25.5" x14ac:dyDescent="0.25">
      <c r="A134" s="209">
        <v>4</v>
      </c>
      <c r="B134" s="210"/>
      <c r="C134" s="211"/>
      <c r="D134" s="25" t="s">
        <v>5</v>
      </c>
      <c r="E134" s="65">
        <f>E135</f>
        <v>137256.22536332867</v>
      </c>
      <c r="F134" s="65">
        <f t="shared" ref="F134:I134" si="51">F135</f>
        <v>22562.877430486427</v>
      </c>
      <c r="G134" s="65">
        <f t="shared" si="51"/>
        <v>0</v>
      </c>
      <c r="H134" s="65">
        <f t="shared" si="51"/>
        <v>332487</v>
      </c>
      <c r="I134" s="65">
        <f t="shared" si="51"/>
        <v>471023.07</v>
      </c>
    </row>
    <row r="135" spans="1:9" ht="25.5" x14ac:dyDescent="0.25">
      <c r="A135" s="212">
        <v>42</v>
      </c>
      <c r="B135" s="213"/>
      <c r="C135" s="214"/>
      <c r="D135" s="25" t="s">
        <v>158</v>
      </c>
      <c r="E135" s="65">
        <f>1034157.03/7.5345</f>
        <v>137256.22536332867</v>
      </c>
      <c r="F135" s="65">
        <f>170000/7.5345</f>
        <v>22562.877430486427</v>
      </c>
      <c r="G135" s="65"/>
      <c r="H135" s="65">
        <f>337947-26330+20870</f>
        <v>332487</v>
      </c>
      <c r="I135" s="65">
        <f>468308-19330+22045.07</f>
        <v>471023.07</v>
      </c>
    </row>
    <row r="136" spans="1:9" ht="30" customHeight="1" x14ac:dyDescent="0.25">
      <c r="A136" s="206" t="s">
        <v>215</v>
      </c>
      <c r="B136" s="207"/>
      <c r="C136" s="207"/>
      <c r="D136" s="208"/>
      <c r="E136" s="81"/>
      <c r="F136" s="81"/>
      <c r="G136" s="156">
        <f>G140</f>
        <v>42471.3</v>
      </c>
      <c r="H136" s="81"/>
      <c r="I136" s="81"/>
    </row>
    <row r="137" spans="1:9" x14ac:dyDescent="0.25">
      <c r="A137" s="59" t="s">
        <v>95</v>
      </c>
      <c r="B137" s="59"/>
      <c r="C137" s="59"/>
      <c r="D137" s="59"/>
      <c r="E137" s="75"/>
      <c r="F137" s="75"/>
      <c r="G137" s="75"/>
      <c r="H137" s="75"/>
      <c r="I137" s="75"/>
    </row>
    <row r="138" spans="1:9" x14ac:dyDescent="0.25">
      <c r="A138" s="59" t="s">
        <v>88</v>
      </c>
      <c r="B138" s="59"/>
      <c r="C138" s="59"/>
      <c r="D138" s="59"/>
      <c r="E138" s="75"/>
      <c r="F138" s="75"/>
      <c r="G138" s="75">
        <v>42471.3</v>
      </c>
      <c r="H138" s="75"/>
      <c r="I138" s="75"/>
    </row>
    <row r="139" spans="1:9" x14ac:dyDescent="0.25">
      <c r="A139" s="59" t="s">
        <v>101</v>
      </c>
      <c r="B139" s="59"/>
      <c r="C139" s="59"/>
      <c r="D139" s="59"/>
      <c r="E139" s="75"/>
      <c r="F139" s="75"/>
      <c r="G139" s="75"/>
      <c r="H139" s="75"/>
      <c r="I139" s="75"/>
    </row>
    <row r="140" spans="1:9" ht="25.5" x14ac:dyDescent="0.25">
      <c r="A140" s="209">
        <v>4</v>
      </c>
      <c r="B140" s="210"/>
      <c r="C140" s="211"/>
      <c r="D140" s="25" t="s">
        <v>5</v>
      </c>
      <c r="E140" s="65"/>
      <c r="F140" s="65"/>
      <c r="G140" s="65">
        <f>G141</f>
        <v>42471.3</v>
      </c>
      <c r="H140" s="65"/>
      <c r="I140" s="65"/>
    </row>
    <row r="141" spans="1:9" ht="25.5" x14ac:dyDescent="0.25">
      <c r="A141" s="212">
        <v>42</v>
      </c>
      <c r="B141" s="213"/>
      <c r="C141" s="214"/>
      <c r="D141" s="25" t="s">
        <v>158</v>
      </c>
      <c r="E141" s="65"/>
      <c r="F141" s="65"/>
      <c r="G141" s="65">
        <v>42471.3</v>
      </c>
      <c r="H141" s="65"/>
      <c r="I141" s="65"/>
    </row>
    <row r="142" spans="1:9" x14ac:dyDescent="0.25">
      <c r="A142" s="215" t="s">
        <v>197</v>
      </c>
      <c r="B142" s="216"/>
      <c r="C142" s="216"/>
      <c r="D142" s="217"/>
      <c r="E142" s="81"/>
      <c r="F142" s="86">
        <f>F146</f>
        <v>74324.772712190592</v>
      </c>
      <c r="G142" s="86">
        <f t="shared" ref="G142:I142" si="52">G146</f>
        <v>39816.839999999997</v>
      </c>
      <c r="H142" s="86">
        <f t="shared" si="52"/>
        <v>0</v>
      </c>
      <c r="I142" s="86">
        <f t="shared" si="52"/>
        <v>0</v>
      </c>
    </row>
    <row r="143" spans="1:9" x14ac:dyDescent="0.25">
      <c r="A143" s="59" t="s">
        <v>88</v>
      </c>
      <c r="B143" s="59"/>
      <c r="C143" s="59"/>
      <c r="D143" s="59"/>
      <c r="E143" s="75"/>
      <c r="F143" s="75">
        <f>440000/7.5345</f>
        <v>58398.03570243546</v>
      </c>
      <c r="G143" s="75">
        <v>272.27999999999997</v>
      </c>
      <c r="H143" s="75"/>
      <c r="I143" s="75"/>
    </row>
    <row r="144" spans="1:9" x14ac:dyDescent="0.25">
      <c r="A144" s="59" t="s">
        <v>95</v>
      </c>
      <c r="B144" s="59"/>
      <c r="C144" s="59"/>
      <c r="D144" s="59"/>
      <c r="E144" s="75"/>
      <c r="F144" s="75"/>
      <c r="G144" s="75">
        <v>13000</v>
      </c>
      <c r="H144" s="75"/>
      <c r="I144" s="75"/>
    </row>
    <row r="145" spans="1:9" x14ac:dyDescent="0.25">
      <c r="A145" s="59" t="s">
        <v>101</v>
      </c>
      <c r="B145" s="59"/>
      <c r="C145" s="59"/>
      <c r="D145" s="59"/>
      <c r="E145" s="75"/>
      <c r="F145" s="75">
        <f>120000/7.5345</f>
        <v>15926.737009755125</v>
      </c>
      <c r="G145" s="75">
        <v>26544.560000000001</v>
      </c>
      <c r="H145" s="75"/>
      <c r="I145" s="75"/>
    </row>
    <row r="146" spans="1:9" ht="25.5" x14ac:dyDescent="0.25">
      <c r="A146" s="209">
        <v>4</v>
      </c>
      <c r="B146" s="210"/>
      <c r="C146" s="211"/>
      <c r="D146" s="25" t="s">
        <v>5</v>
      </c>
      <c r="E146" s="65"/>
      <c r="F146" s="65">
        <f>F147</f>
        <v>74324.772712190592</v>
      </c>
      <c r="G146" s="65">
        <f>G147+G148</f>
        <v>39816.839999999997</v>
      </c>
      <c r="H146" s="65"/>
      <c r="I146" s="65"/>
    </row>
    <row r="147" spans="1:9" ht="25.5" x14ac:dyDescent="0.25">
      <c r="A147" s="212">
        <v>42</v>
      </c>
      <c r="B147" s="213"/>
      <c r="C147" s="214"/>
      <c r="D147" s="25" t="s">
        <v>158</v>
      </c>
      <c r="E147" s="65"/>
      <c r="F147" s="65">
        <f>560000/7.5345</f>
        <v>74324.772712190592</v>
      </c>
      <c r="G147" s="65"/>
      <c r="H147" s="65"/>
      <c r="I147" s="65"/>
    </row>
    <row r="148" spans="1:9" ht="25.5" x14ac:dyDescent="0.25">
      <c r="A148" s="161"/>
      <c r="B148" s="162"/>
      <c r="C148" s="162">
        <v>45</v>
      </c>
      <c r="D148" s="163" t="s">
        <v>185</v>
      </c>
      <c r="E148" s="65"/>
      <c r="F148" s="65"/>
      <c r="G148" s="65">
        <v>39816.839999999997</v>
      </c>
      <c r="H148" s="65"/>
      <c r="I148" s="65"/>
    </row>
    <row r="149" spans="1:9" s="147" customFormat="1" ht="27.75" customHeight="1" x14ac:dyDescent="0.2">
      <c r="A149" s="300" t="s">
        <v>198</v>
      </c>
      <c r="B149" s="301"/>
      <c r="C149" s="301"/>
      <c r="D149" s="302"/>
      <c r="E149" s="153"/>
      <c r="F149" s="154">
        <f>F152</f>
        <v>51761.895281704157</v>
      </c>
      <c r="G149" s="153"/>
      <c r="H149" s="153"/>
      <c r="I149" s="153"/>
    </row>
    <row r="150" spans="1:9" x14ac:dyDescent="0.25">
      <c r="A150" s="59" t="s">
        <v>88</v>
      </c>
      <c r="B150" s="59"/>
      <c r="C150" s="59"/>
      <c r="D150" s="59"/>
      <c r="E150" s="75"/>
      <c r="F150" s="75">
        <f>380000/7.5345</f>
        <v>50434.667197557901</v>
      </c>
      <c r="G150" s="75"/>
      <c r="H150" s="75"/>
      <c r="I150" s="75"/>
    </row>
    <row r="151" spans="1:9" x14ac:dyDescent="0.25">
      <c r="A151" s="59" t="s">
        <v>101</v>
      </c>
      <c r="B151" s="59"/>
      <c r="C151" s="59"/>
      <c r="D151" s="59"/>
      <c r="E151" s="75"/>
      <c r="F151" s="75">
        <f>10000/7.5345</f>
        <v>1327.2280841462605</v>
      </c>
      <c r="G151" s="75"/>
      <c r="H151" s="75"/>
      <c r="I151" s="75"/>
    </row>
    <row r="152" spans="1:9" ht="25.5" x14ac:dyDescent="0.25">
      <c r="A152" s="209">
        <v>4</v>
      </c>
      <c r="B152" s="210"/>
      <c r="C152" s="211"/>
      <c r="D152" s="25" t="s">
        <v>5</v>
      </c>
      <c r="E152" s="65"/>
      <c r="F152" s="65">
        <f>F153</f>
        <v>51761.895281704157</v>
      </c>
      <c r="G152" s="65"/>
      <c r="H152" s="65"/>
      <c r="I152" s="65"/>
    </row>
    <row r="153" spans="1:9" ht="25.5" x14ac:dyDescent="0.25">
      <c r="A153" s="212">
        <v>42</v>
      </c>
      <c r="B153" s="213"/>
      <c r="C153" s="214"/>
      <c r="D153" s="25" t="s">
        <v>158</v>
      </c>
      <c r="E153" s="65"/>
      <c r="F153" s="65">
        <f>390000/7.5345</f>
        <v>51761.895281704157</v>
      </c>
      <c r="G153" s="65"/>
      <c r="H153" s="65"/>
      <c r="I153" s="65"/>
    </row>
    <row r="154" spans="1:9" x14ac:dyDescent="0.25">
      <c r="A154" s="215" t="s">
        <v>199</v>
      </c>
      <c r="B154" s="216"/>
      <c r="C154" s="216"/>
      <c r="D154" s="217"/>
      <c r="E154" s="81"/>
      <c r="F154" s="86">
        <f>F157</f>
        <v>55743.57953414294</v>
      </c>
      <c r="G154" s="81"/>
      <c r="H154" s="81"/>
      <c r="I154" s="81"/>
    </row>
    <row r="155" spans="1:9" x14ac:dyDescent="0.25">
      <c r="A155" s="59" t="s">
        <v>88</v>
      </c>
      <c r="B155" s="59"/>
      <c r="C155" s="59"/>
      <c r="D155" s="59"/>
      <c r="E155" s="75"/>
      <c r="F155" s="75">
        <f>280000/7.5345</f>
        <v>37162.386356095296</v>
      </c>
      <c r="G155" s="75"/>
      <c r="H155" s="75"/>
      <c r="I155" s="75"/>
    </row>
    <row r="156" spans="1:9" x14ac:dyDescent="0.25">
      <c r="A156" s="59" t="s">
        <v>101</v>
      </c>
      <c r="B156" s="59"/>
      <c r="C156" s="59"/>
      <c r="D156" s="59"/>
      <c r="E156" s="75"/>
      <c r="F156" s="75">
        <f>140000/7.5345</f>
        <v>18581.193178047648</v>
      </c>
      <c r="G156" s="75"/>
      <c r="H156" s="75"/>
      <c r="I156" s="75"/>
    </row>
    <row r="157" spans="1:9" ht="25.5" x14ac:dyDescent="0.25">
      <c r="A157" s="209">
        <v>4</v>
      </c>
      <c r="B157" s="210"/>
      <c r="C157" s="211"/>
      <c r="D157" s="25" t="s">
        <v>5</v>
      </c>
      <c r="E157" s="65"/>
      <c r="F157" s="65">
        <f>F158</f>
        <v>55743.57953414294</v>
      </c>
      <c r="G157" s="65"/>
      <c r="H157" s="65"/>
      <c r="I157" s="65"/>
    </row>
    <row r="158" spans="1:9" ht="25.5" x14ac:dyDescent="0.25">
      <c r="A158" s="212">
        <v>42</v>
      </c>
      <c r="B158" s="213"/>
      <c r="C158" s="214"/>
      <c r="D158" s="25" t="s">
        <v>158</v>
      </c>
      <c r="E158" s="65"/>
      <c r="F158" s="65">
        <f>420000/7.5345</f>
        <v>55743.57953414294</v>
      </c>
      <c r="G158" s="65"/>
      <c r="H158" s="65"/>
      <c r="I158" s="65"/>
    </row>
    <row r="159" spans="1:9" x14ac:dyDescent="0.25">
      <c r="A159" s="215" t="s">
        <v>200</v>
      </c>
      <c r="B159" s="216"/>
      <c r="C159" s="216"/>
      <c r="D159" s="217"/>
      <c r="E159" s="81"/>
      <c r="F159" s="86">
        <f>F162</f>
        <v>29199.01785121773</v>
      </c>
      <c r="G159" s="156">
        <f>G162</f>
        <v>30526.25</v>
      </c>
      <c r="H159" s="81"/>
      <c r="I159" s="81"/>
    </row>
    <row r="160" spans="1:9" x14ac:dyDescent="0.25">
      <c r="A160" s="59" t="s">
        <v>101</v>
      </c>
      <c r="B160" s="59"/>
      <c r="C160" s="59"/>
      <c r="D160" s="59"/>
      <c r="E160" s="75"/>
      <c r="F160" s="171"/>
      <c r="G160" s="75">
        <v>18581.189999999999</v>
      </c>
      <c r="H160" s="75"/>
      <c r="I160" s="75"/>
    </row>
    <row r="161" spans="1:9" x14ac:dyDescent="0.25">
      <c r="A161" s="59" t="s">
        <v>88</v>
      </c>
      <c r="B161" s="59"/>
      <c r="C161" s="59"/>
      <c r="D161" s="59"/>
      <c r="E161" s="75"/>
      <c r="F161" s="75">
        <f>220000/7.5345</f>
        <v>29199.01785121773</v>
      </c>
      <c r="G161" s="75">
        <f>G159-G160</f>
        <v>11945.060000000001</v>
      </c>
      <c r="H161" s="75"/>
      <c r="I161" s="75"/>
    </row>
    <row r="162" spans="1:9" ht="25.5" x14ac:dyDescent="0.25">
      <c r="A162" s="209">
        <v>4</v>
      </c>
      <c r="B162" s="210"/>
      <c r="C162" s="211"/>
      <c r="D162" s="25" t="s">
        <v>5</v>
      </c>
      <c r="E162" s="65"/>
      <c r="F162" s="65">
        <f>F163</f>
        <v>29199.01785121773</v>
      </c>
      <c r="G162" s="65">
        <f>G163</f>
        <v>30526.25</v>
      </c>
      <c r="H162" s="65"/>
      <c r="I162" s="65"/>
    </row>
    <row r="163" spans="1:9" ht="25.5" x14ac:dyDescent="0.25">
      <c r="A163" s="212">
        <v>42</v>
      </c>
      <c r="B163" s="213"/>
      <c r="C163" s="214"/>
      <c r="D163" s="25" t="s">
        <v>158</v>
      </c>
      <c r="E163" s="65"/>
      <c r="F163" s="65">
        <f>220000/7.5345</f>
        <v>29199.01785121773</v>
      </c>
      <c r="G163" s="65">
        <v>30526.25</v>
      </c>
      <c r="H163" s="65"/>
      <c r="I163" s="65"/>
    </row>
    <row r="164" spans="1:9" x14ac:dyDescent="0.25">
      <c r="A164" s="246" t="s">
        <v>174</v>
      </c>
      <c r="B164" s="247"/>
      <c r="C164" s="247"/>
      <c r="D164" s="247"/>
      <c r="E164" s="307">
        <f>E168</f>
        <v>35804.929325104516</v>
      </c>
      <c r="F164" s="303"/>
      <c r="G164" s="305">
        <f>G168</f>
        <v>66361.399999999994</v>
      </c>
      <c r="H164" s="303"/>
      <c r="I164" s="303"/>
    </row>
    <row r="165" spans="1:9" x14ac:dyDescent="0.25">
      <c r="A165" s="220" t="s">
        <v>173</v>
      </c>
      <c r="B165" s="221"/>
      <c r="C165" s="221"/>
      <c r="D165" s="221"/>
      <c r="E165" s="308"/>
      <c r="F165" s="304"/>
      <c r="G165" s="306"/>
      <c r="H165" s="304"/>
      <c r="I165" s="304"/>
    </row>
    <row r="166" spans="1:9" x14ac:dyDescent="0.25">
      <c r="A166" s="59" t="s">
        <v>88</v>
      </c>
      <c r="B166" s="59"/>
      <c r="C166" s="59"/>
      <c r="D166" s="59"/>
      <c r="E166" s="66">
        <f>269772.24/7.5345</f>
        <v>35804.929325104516</v>
      </c>
      <c r="F166" s="75"/>
      <c r="G166" s="75"/>
      <c r="H166" s="75"/>
      <c r="I166" s="75"/>
    </row>
    <row r="167" spans="1:9" x14ac:dyDescent="0.25">
      <c r="A167" s="59" t="s">
        <v>101</v>
      </c>
      <c r="B167" s="59"/>
      <c r="C167" s="59"/>
      <c r="D167" s="59"/>
      <c r="E167" s="66"/>
      <c r="F167" s="75"/>
      <c r="G167" s="75">
        <v>66361.399999999994</v>
      </c>
      <c r="H167" s="75"/>
      <c r="I167" s="75"/>
    </row>
    <row r="168" spans="1:9" ht="25.5" x14ac:dyDescent="0.25">
      <c r="A168" s="209">
        <v>4</v>
      </c>
      <c r="B168" s="210"/>
      <c r="C168" s="211"/>
      <c r="D168" s="50" t="s">
        <v>5</v>
      </c>
      <c r="E168" s="65">
        <f>E169</f>
        <v>35804.929325104516</v>
      </c>
      <c r="F168" s="65"/>
      <c r="G168" s="65">
        <f>G169</f>
        <v>66361.399999999994</v>
      </c>
      <c r="H168" s="65"/>
      <c r="I168" s="65"/>
    </row>
    <row r="169" spans="1:9" ht="25.5" x14ac:dyDescent="0.25">
      <c r="A169" s="212">
        <v>42</v>
      </c>
      <c r="B169" s="213"/>
      <c r="C169" s="214"/>
      <c r="D169" s="50" t="s">
        <v>158</v>
      </c>
      <c r="E169" s="65">
        <f>269772.24/7.5345</f>
        <v>35804.929325104516</v>
      </c>
      <c r="F169" s="65"/>
      <c r="G169" s="65">
        <v>66361.399999999994</v>
      </c>
      <c r="H169" s="65"/>
      <c r="I169" s="65"/>
    </row>
    <row r="170" spans="1:9" x14ac:dyDescent="0.25">
      <c r="A170" s="215" t="s">
        <v>201</v>
      </c>
      <c r="B170" s="216"/>
      <c r="C170" s="216"/>
      <c r="D170" s="217"/>
      <c r="E170" s="81"/>
      <c r="F170" s="114">
        <f>F172</f>
        <v>9025.1509721945713</v>
      </c>
      <c r="G170" s="112"/>
      <c r="H170" s="112"/>
      <c r="I170" s="112"/>
    </row>
    <row r="171" spans="1:9" x14ac:dyDescent="0.25">
      <c r="A171" s="59" t="s">
        <v>95</v>
      </c>
      <c r="B171" s="59"/>
      <c r="C171" s="59"/>
      <c r="D171" s="59"/>
      <c r="E171" s="75"/>
      <c r="F171" s="76">
        <f>68000/7.5345</f>
        <v>9025.1509721945713</v>
      </c>
      <c r="G171" s="76"/>
      <c r="H171" s="76"/>
      <c r="I171" s="76"/>
    </row>
    <row r="172" spans="1:9" ht="25.5" x14ac:dyDescent="0.25">
      <c r="A172" s="209">
        <v>4</v>
      </c>
      <c r="B172" s="210"/>
      <c r="C172" s="211"/>
      <c r="D172" s="25" t="s">
        <v>5</v>
      </c>
      <c r="E172" s="65"/>
      <c r="F172" s="113">
        <f>F173</f>
        <v>9025.1509721945713</v>
      </c>
      <c r="G172" s="113"/>
      <c r="H172" s="113"/>
      <c r="I172" s="113"/>
    </row>
    <row r="173" spans="1:9" ht="25.5" x14ac:dyDescent="0.25">
      <c r="A173" s="212">
        <v>42</v>
      </c>
      <c r="B173" s="213"/>
      <c r="C173" s="214"/>
      <c r="D173" s="25" t="s">
        <v>158</v>
      </c>
      <c r="E173" s="65"/>
      <c r="F173" s="113">
        <f>68000/7.5345</f>
        <v>9025.1509721945713</v>
      </c>
      <c r="G173" s="113"/>
      <c r="H173" s="113"/>
      <c r="I173" s="113"/>
    </row>
    <row r="174" spans="1:9" x14ac:dyDescent="0.25">
      <c r="A174" s="215" t="s">
        <v>216</v>
      </c>
      <c r="B174" s="216"/>
      <c r="C174" s="216"/>
      <c r="D174" s="217"/>
      <c r="E174" s="81"/>
      <c r="F174" s="112"/>
      <c r="G174" s="164">
        <f>G178</f>
        <v>42471.3</v>
      </c>
      <c r="H174" s="164"/>
      <c r="I174" s="164"/>
    </row>
    <row r="175" spans="1:9" x14ac:dyDescent="0.25">
      <c r="A175" s="59" t="s">
        <v>88</v>
      </c>
      <c r="B175" s="59"/>
      <c r="C175" s="59"/>
      <c r="D175" s="59"/>
      <c r="E175" s="75"/>
      <c r="F175" s="76"/>
      <c r="G175" s="76">
        <v>1054.95</v>
      </c>
      <c r="H175" s="172"/>
      <c r="I175" s="172"/>
    </row>
    <row r="176" spans="1:9" x14ac:dyDescent="0.25">
      <c r="A176" s="59" t="s">
        <v>101</v>
      </c>
      <c r="B176" s="59"/>
      <c r="C176" s="59"/>
      <c r="D176" s="59"/>
      <c r="E176" s="75"/>
      <c r="F176" s="76"/>
      <c r="G176" s="76">
        <v>39816.839999999997</v>
      </c>
      <c r="H176" s="172"/>
      <c r="I176" s="172"/>
    </row>
    <row r="177" spans="1:9" x14ac:dyDescent="0.25">
      <c r="A177" s="59" t="s">
        <v>95</v>
      </c>
      <c r="B177" s="59"/>
      <c r="C177" s="59"/>
      <c r="D177" s="59"/>
      <c r="E177" s="75"/>
      <c r="F177" s="76"/>
      <c r="G177" s="76">
        <v>1599.51</v>
      </c>
      <c r="H177" s="76"/>
      <c r="I177" s="76"/>
    </row>
    <row r="178" spans="1:9" ht="25.5" x14ac:dyDescent="0.25">
      <c r="A178" s="209">
        <v>4</v>
      </c>
      <c r="B178" s="210"/>
      <c r="C178" s="211"/>
      <c r="D178" s="25" t="s">
        <v>5</v>
      </c>
      <c r="E178" s="65"/>
      <c r="F178" s="113"/>
      <c r="G178" s="113">
        <f>G179</f>
        <v>42471.3</v>
      </c>
      <c r="H178" s="113"/>
      <c r="I178" s="113"/>
    </row>
    <row r="179" spans="1:9" ht="25.5" x14ac:dyDescent="0.25">
      <c r="A179" s="212">
        <v>42</v>
      </c>
      <c r="B179" s="213"/>
      <c r="C179" s="214"/>
      <c r="D179" s="25" t="s">
        <v>158</v>
      </c>
      <c r="E179" s="65"/>
      <c r="F179" s="113"/>
      <c r="G179" s="113">
        <v>42471.3</v>
      </c>
      <c r="H179" s="113"/>
      <c r="I179" s="113"/>
    </row>
    <row r="180" spans="1:9" x14ac:dyDescent="0.25">
      <c r="A180" s="246" t="s">
        <v>111</v>
      </c>
      <c r="B180" s="247"/>
      <c r="C180" s="247"/>
      <c r="D180" s="247"/>
      <c r="E180" s="307">
        <f>E184</f>
        <v>14025.068684053354</v>
      </c>
      <c r="F180" s="303"/>
      <c r="G180" s="303"/>
      <c r="H180" s="303"/>
      <c r="I180" s="303"/>
    </row>
    <row r="181" spans="1:9" x14ac:dyDescent="0.25">
      <c r="A181" s="220" t="s">
        <v>112</v>
      </c>
      <c r="B181" s="221"/>
      <c r="C181" s="221"/>
      <c r="D181" s="221"/>
      <c r="E181" s="308"/>
      <c r="F181" s="304"/>
      <c r="G181" s="304"/>
      <c r="H181" s="304"/>
      <c r="I181" s="304"/>
    </row>
    <row r="182" spans="1:9" x14ac:dyDescent="0.25">
      <c r="A182" s="59" t="s">
        <v>113</v>
      </c>
      <c r="B182" s="59"/>
      <c r="C182" s="59"/>
      <c r="D182" s="59"/>
      <c r="E182" s="66">
        <f>12787.03/7.5345</f>
        <v>1697.1305328820758</v>
      </c>
      <c r="F182" s="75"/>
      <c r="G182" s="75"/>
      <c r="H182" s="75"/>
      <c r="I182" s="75"/>
    </row>
    <row r="183" spans="1:9" x14ac:dyDescent="0.25">
      <c r="A183" s="59" t="s">
        <v>95</v>
      </c>
      <c r="B183" s="59"/>
      <c r="C183" s="59"/>
      <c r="D183" s="59"/>
      <c r="E183" s="66">
        <f>92884.85/7.5345</f>
        <v>12327.938151171278</v>
      </c>
      <c r="F183" s="75"/>
      <c r="G183" s="75"/>
      <c r="H183" s="75"/>
      <c r="I183" s="75"/>
    </row>
    <row r="184" spans="1:9" ht="25.5" x14ac:dyDescent="0.25">
      <c r="A184" s="209">
        <v>4</v>
      </c>
      <c r="B184" s="210"/>
      <c r="C184" s="211"/>
      <c r="D184" s="50" t="s">
        <v>5</v>
      </c>
      <c r="E184" s="65">
        <f>E185</f>
        <v>14025.068684053354</v>
      </c>
      <c r="F184" s="65"/>
      <c r="G184" s="65"/>
      <c r="H184" s="65"/>
      <c r="I184" s="65"/>
    </row>
    <row r="185" spans="1:9" ht="25.5" x14ac:dyDescent="0.25">
      <c r="A185" s="212">
        <v>42</v>
      </c>
      <c r="B185" s="213"/>
      <c r="C185" s="214"/>
      <c r="D185" s="50" t="s">
        <v>158</v>
      </c>
      <c r="E185" s="65">
        <f>105671.88/7.5345</f>
        <v>14025.068684053354</v>
      </c>
      <c r="F185" s="65"/>
      <c r="G185" s="65"/>
      <c r="H185" s="65"/>
      <c r="I185" s="65"/>
    </row>
    <row r="186" spans="1:9" x14ac:dyDescent="0.25">
      <c r="A186" s="298" t="s">
        <v>114</v>
      </c>
      <c r="B186" s="299"/>
      <c r="C186" s="299"/>
      <c r="D186" s="299"/>
      <c r="E186" s="309">
        <f>E188</f>
        <v>2439.2262260269422</v>
      </c>
      <c r="F186" s="309">
        <f t="shared" ref="F186:G186" si="53">F188</f>
        <v>9290.596589023824</v>
      </c>
      <c r="G186" s="309">
        <f t="shared" si="53"/>
        <v>26544.560000000001</v>
      </c>
      <c r="H186" s="309">
        <f t="shared" ref="H186:I186" si="54">H188</f>
        <v>0</v>
      </c>
      <c r="I186" s="309">
        <f t="shared" si="54"/>
        <v>0</v>
      </c>
    </row>
    <row r="187" spans="1:9" x14ac:dyDescent="0.25">
      <c r="A187" s="106" t="s">
        <v>115</v>
      </c>
      <c r="B187" s="107"/>
      <c r="C187" s="107"/>
      <c r="D187" s="107"/>
      <c r="E187" s="310"/>
      <c r="F187" s="310"/>
      <c r="G187" s="310"/>
      <c r="H187" s="310"/>
      <c r="I187" s="310"/>
    </row>
    <row r="188" spans="1:9" x14ac:dyDescent="0.25">
      <c r="A188" s="215" t="s">
        <v>175</v>
      </c>
      <c r="B188" s="216"/>
      <c r="C188" s="216"/>
      <c r="D188" s="217"/>
      <c r="E188" s="307">
        <f>E190</f>
        <v>2439.2262260269422</v>
      </c>
      <c r="F188" s="307">
        <f t="shared" ref="F188" si="55">F190</f>
        <v>9290.596589023824</v>
      </c>
      <c r="G188" s="307">
        <f>G191</f>
        <v>26544.560000000001</v>
      </c>
      <c r="H188" s="307">
        <f t="shared" ref="H188:I188" si="56">H191</f>
        <v>0</v>
      </c>
      <c r="I188" s="307">
        <f t="shared" si="56"/>
        <v>0</v>
      </c>
    </row>
    <row r="189" spans="1:9" x14ac:dyDescent="0.25">
      <c r="A189" s="220" t="s">
        <v>176</v>
      </c>
      <c r="B189" s="221"/>
      <c r="C189" s="221"/>
      <c r="D189" s="221"/>
      <c r="E189" s="311"/>
      <c r="F189" s="311"/>
      <c r="G189" s="311"/>
      <c r="H189" s="311"/>
      <c r="I189" s="311"/>
    </row>
    <row r="190" spans="1:9" x14ac:dyDescent="0.25">
      <c r="A190" s="59" t="s">
        <v>88</v>
      </c>
      <c r="B190" s="59"/>
      <c r="C190" s="59"/>
      <c r="D190" s="59"/>
      <c r="E190" s="66">
        <f>E191</f>
        <v>2439.2262260269422</v>
      </c>
      <c r="F190" s="75">
        <f>70000/7.5345</f>
        <v>9290.596589023824</v>
      </c>
      <c r="G190" s="75">
        <v>26544.560000000001</v>
      </c>
      <c r="H190" s="75"/>
      <c r="I190" s="75"/>
    </row>
    <row r="191" spans="1:9" ht="25.5" x14ac:dyDescent="0.25">
      <c r="A191" s="209">
        <v>4</v>
      </c>
      <c r="B191" s="210"/>
      <c r="C191" s="211"/>
      <c r="D191" s="50" t="s">
        <v>5</v>
      </c>
      <c r="E191" s="65">
        <f>E192</f>
        <v>2439.2262260269422</v>
      </c>
      <c r="F191" s="65">
        <f t="shared" ref="F191:I191" si="57">F192</f>
        <v>9290.596589023824</v>
      </c>
      <c r="G191" s="65">
        <f t="shared" si="57"/>
        <v>26544.560000000001</v>
      </c>
      <c r="H191" s="65">
        <f t="shared" si="57"/>
        <v>0</v>
      </c>
      <c r="I191" s="65">
        <f t="shared" si="57"/>
        <v>0</v>
      </c>
    </row>
    <row r="192" spans="1:9" ht="25.5" x14ac:dyDescent="0.25">
      <c r="A192" s="212">
        <v>42</v>
      </c>
      <c r="B192" s="213"/>
      <c r="C192" s="214"/>
      <c r="D192" s="50" t="s">
        <v>158</v>
      </c>
      <c r="E192" s="65">
        <f>18378.35/7.5345</f>
        <v>2439.2262260269422</v>
      </c>
      <c r="F192" s="65">
        <f>70000/7.5345</f>
        <v>9290.596589023824</v>
      </c>
      <c r="G192" s="65">
        <v>26544.560000000001</v>
      </c>
      <c r="H192" s="65"/>
      <c r="I192" s="65"/>
    </row>
    <row r="193" spans="1:9" x14ac:dyDescent="0.25">
      <c r="A193" s="102" t="s">
        <v>116</v>
      </c>
      <c r="B193" s="102"/>
      <c r="C193" s="102"/>
      <c r="D193" s="102"/>
      <c r="E193" s="105">
        <f>E194+E199+E206</f>
        <v>791343.86090649676</v>
      </c>
      <c r="F193" s="105">
        <f t="shared" ref="F193:G193" si="58">F194+F199+F206</f>
        <v>273594.79726591014</v>
      </c>
      <c r="G193" s="105">
        <f t="shared" si="58"/>
        <v>27340.899999999998</v>
      </c>
      <c r="H193" s="105">
        <f>H194+H199+H206</f>
        <v>22800</v>
      </c>
      <c r="I193" s="105">
        <f>I194+I199+I206</f>
        <v>23500</v>
      </c>
    </row>
    <row r="194" spans="1:9" x14ac:dyDescent="0.25">
      <c r="A194" s="77" t="s">
        <v>177</v>
      </c>
      <c r="B194" s="77"/>
      <c r="C194" s="77"/>
      <c r="D194" s="77"/>
      <c r="E194" s="94">
        <f>E196</f>
        <v>11780.436658039684</v>
      </c>
      <c r="F194" s="94">
        <f t="shared" ref="F194:I194" si="59">F196</f>
        <v>10219.656247926205</v>
      </c>
      <c r="G194" s="94">
        <f t="shared" si="59"/>
        <v>11546.88</v>
      </c>
      <c r="H194" s="94">
        <f t="shared" si="59"/>
        <v>12000</v>
      </c>
      <c r="I194" s="94">
        <f t="shared" si="59"/>
        <v>12000</v>
      </c>
    </row>
    <row r="195" spans="1:9" x14ac:dyDescent="0.25">
      <c r="A195" s="59" t="s">
        <v>88</v>
      </c>
      <c r="B195" s="59"/>
      <c r="C195" s="59"/>
      <c r="D195" s="59"/>
      <c r="E195" s="66">
        <f>E194</f>
        <v>11780.436658039684</v>
      </c>
      <c r="F195" s="75">
        <f>77000/7.5345</f>
        <v>10219.656247926205</v>
      </c>
      <c r="G195" s="75">
        <v>11546.88</v>
      </c>
      <c r="H195" s="75">
        <v>12000</v>
      </c>
      <c r="I195" s="75">
        <v>12000</v>
      </c>
    </row>
    <row r="196" spans="1:9" x14ac:dyDescent="0.25">
      <c r="A196" s="209">
        <v>3</v>
      </c>
      <c r="B196" s="210"/>
      <c r="C196" s="211"/>
      <c r="D196" s="25" t="s">
        <v>26</v>
      </c>
      <c r="E196" s="52">
        <f>E197+E198</f>
        <v>11780.436658039684</v>
      </c>
      <c r="F196" s="52">
        <f t="shared" ref="F196:I196" si="60">F197+F198</f>
        <v>10219.656247926205</v>
      </c>
      <c r="G196" s="52">
        <f t="shared" si="60"/>
        <v>11546.88</v>
      </c>
      <c r="H196" s="52">
        <f t="shared" si="60"/>
        <v>12000</v>
      </c>
      <c r="I196" s="52">
        <f t="shared" si="60"/>
        <v>12000</v>
      </c>
    </row>
    <row r="197" spans="1:9" x14ac:dyDescent="0.25">
      <c r="A197" s="212">
        <v>32</v>
      </c>
      <c r="B197" s="213"/>
      <c r="C197" s="214"/>
      <c r="D197" s="25" t="s">
        <v>44</v>
      </c>
      <c r="E197" s="52">
        <f>75759.7/7.5345</f>
        <v>10055.040148649545</v>
      </c>
      <c r="F197" s="65">
        <f>65000/7.5345</f>
        <v>8626.9825469506923</v>
      </c>
      <c r="G197" s="65">
        <v>9954.2099999999991</v>
      </c>
      <c r="H197" s="65">
        <v>10400</v>
      </c>
      <c r="I197" s="65">
        <v>10400</v>
      </c>
    </row>
    <row r="198" spans="1:9" ht="25.5" x14ac:dyDescent="0.25">
      <c r="A198" s="269">
        <v>36</v>
      </c>
      <c r="B198" s="270"/>
      <c r="C198" s="271"/>
      <c r="D198" s="50" t="s">
        <v>66</v>
      </c>
      <c r="E198" s="52">
        <f>13000/7.5345</f>
        <v>1725.3965093901386</v>
      </c>
      <c r="F198" s="65">
        <f>12000/7.5345</f>
        <v>1592.6737009755125</v>
      </c>
      <c r="G198" s="65">
        <v>1592.67</v>
      </c>
      <c r="H198" s="65">
        <v>1600</v>
      </c>
      <c r="I198" s="65">
        <v>1600</v>
      </c>
    </row>
    <row r="199" spans="1:9" x14ac:dyDescent="0.25">
      <c r="A199" s="228" t="s">
        <v>178</v>
      </c>
      <c r="B199" s="229"/>
      <c r="C199" s="229"/>
      <c r="D199" s="230"/>
      <c r="E199" s="82">
        <f>E202+E204</f>
        <v>774818.16842524381</v>
      </c>
      <c r="F199" s="82">
        <f t="shared" ref="F199:I199" si="61">F202+F204</f>
        <v>228734.48802176653</v>
      </c>
      <c r="G199" s="82">
        <f t="shared" si="61"/>
        <v>9821.49</v>
      </c>
      <c r="H199" s="82">
        <f t="shared" si="61"/>
        <v>10000</v>
      </c>
      <c r="I199" s="82">
        <f t="shared" si="61"/>
        <v>10000</v>
      </c>
    </row>
    <row r="200" spans="1:9" x14ac:dyDescent="0.25">
      <c r="A200" s="59" t="s">
        <v>88</v>
      </c>
      <c r="B200" s="59"/>
      <c r="C200" s="59"/>
      <c r="D200" s="59"/>
      <c r="E200" s="66">
        <f>1645405.51/7.5345</f>
        <v>218382.84026810006</v>
      </c>
      <c r="F200" s="75">
        <f>1723400/7.5345</f>
        <v>228734.48802176653</v>
      </c>
      <c r="G200" s="75">
        <v>9821.49</v>
      </c>
      <c r="H200" s="75">
        <v>10000</v>
      </c>
      <c r="I200" s="75">
        <v>10000</v>
      </c>
    </row>
    <row r="201" spans="1:9" x14ac:dyDescent="0.25">
      <c r="A201" s="59" t="s">
        <v>90</v>
      </c>
      <c r="B201" s="59"/>
      <c r="C201" s="59"/>
      <c r="D201" s="59"/>
      <c r="E201" s="66">
        <f>4192461.98/7.5345</f>
        <v>556435.32815714378</v>
      </c>
      <c r="F201" s="75"/>
      <c r="G201" s="75"/>
      <c r="H201" s="75"/>
      <c r="I201" s="75"/>
    </row>
    <row r="202" spans="1:9" x14ac:dyDescent="0.25">
      <c r="A202" s="209">
        <v>3</v>
      </c>
      <c r="B202" s="210"/>
      <c r="C202" s="211"/>
      <c r="D202" s="25" t="s">
        <v>26</v>
      </c>
      <c r="E202" s="52">
        <f>E203</f>
        <v>58441.648417280507</v>
      </c>
      <c r="F202" s="52">
        <f t="shared" ref="F202:I202" si="62">F203</f>
        <v>23279.580595925407</v>
      </c>
      <c r="G202" s="52">
        <f t="shared" si="62"/>
        <v>9821.49</v>
      </c>
      <c r="H202" s="52">
        <f t="shared" si="62"/>
        <v>10000</v>
      </c>
      <c r="I202" s="52">
        <f t="shared" si="62"/>
        <v>10000</v>
      </c>
    </row>
    <row r="203" spans="1:9" x14ac:dyDescent="0.25">
      <c r="A203" s="212">
        <v>32</v>
      </c>
      <c r="B203" s="213"/>
      <c r="C203" s="214"/>
      <c r="D203" s="25" t="s">
        <v>44</v>
      </c>
      <c r="E203" s="52">
        <f>440328.6/7.5345</f>
        <v>58441.648417280507</v>
      </c>
      <c r="F203" s="65">
        <f>175400/7.5345</f>
        <v>23279.580595925407</v>
      </c>
      <c r="G203" s="65">
        <v>9821.49</v>
      </c>
      <c r="H203" s="65">
        <v>10000</v>
      </c>
      <c r="I203" s="65">
        <v>10000</v>
      </c>
    </row>
    <row r="204" spans="1:9" ht="25.5" x14ac:dyDescent="0.25">
      <c r="A204" s="209">
        <v>4</v>
      </c>
      <c r="B204" s="210"/>
      <c r="C204" s="211"/>
      <c r="D204" s="50" t="s">
        <v>5</v>
      </c>
      <c r="E204" s="52">
        <f>E205</f>
        <v>716376.52000796329</v>
      </c>
      <c r="F204" s="52">
        <f t="shared" ref="F204:I204" si="63">F205</f>
        <v>205454.90742584111</v>
      </c>
      <c r="G204" s="52">
        <f t="shared" si="63"/>
        <v>0</v>
      </c>
      <c r="H204" s="52">
        <f t="shared" si="63"/>
        <v>0</v>
      </c>
      <c r="I204" s="52">
        <f t="shared" si="63"/>
        <v>0</v>
      </c>
    </row>
    <row r="205" spans="1:9" ht="25.5" x14ac:dyDescent="0.25">
      <c r="A205" s="212">
        <v>42</v>
      </c>
      <c r="B205" s="213"/>
      <c r="C205" s="214"/>
      <c r="D205" s="50" t="s">
        <v>158</v>
      </c>
      <c r="E205" s="52">
        <f>5397538.89/7.5345</f>
        <v>716376.52000796329</v>
      </c>
      <c r="F205" s="65">
        <f>1548000/7.5345</f>
        <v>205454.90742584111</v>
      </c>
      <c r="G205" s="65"/>
      <c r="H205" s="65"/>
      <c r="I205" s="65"/>
    </row>
    <row r="206" spans="1:9" x14ac:dyDescent="0.25">
      <c r="A206" s="228" t="s">
        <v>179</v>
      </c>
      <c r="B206" s="229"/>
      <c r="C206" s="229"/>
      <c r="D206" s="230"/>
      <c r="E206" s="82">
        <f>E208+E210</f>
        <v>4745.2558232132187</v>
      </c>
      <c r="F206" s="82">
        <f t="shared" ref="F206:I206" si="64">F208+F210</f>
        <v>34640.652996217395</v>
      </c>
      <c r="G206" s="82">
        <f t="shared" si="64"/>
        <v>5972.53</v>
      </c>
      <c r="H206" s="82">
        <f t="shared" si="64"/>
        <v>800</v>
      </c>
      <c r="I206" s="82">
        <f t="shared" si="64"/>
        <v>1500</v>
      </c>
    </row>
    <row r="207" spans="1:9" x14ac:dyDescent="0.25">
      <c r="A207" s="59" t="s">
        <v>88</v>
      </c>
      <c r="B207" s="59"/>
      <c r="C207" s="59"/>
      <c r="D207" s="59"/>
      <c r="E207" s="66">
        <f>E206</f>
        <v>4745.2558232132187</v>
      </c>
      <c r="F207" s="75">
        <f>261000/7.5345</f>
        <v>34640.652996217395</v>
      </c>
      <c r="G207" s="75">
        <v>5972.53</v>
      </c>
      <c r="H207" s="75">
        <v>800</v>
      </c>
      <c r="I207" s="75">
        <v>1500</v>
      </c>
    </row>
    <row r="208" spans="1:9" x14ac:dyDescent="0.25">
      <c r="A208" s="209">
        <v>3</v>
      </c>
      <c r="B208" s="210"/>
      <c r="C208" s="211"/>
      <c r="D208" s="50" t="s">
        <v>26</v>
      </c>
      <c r="E208" s="52">
        <f>E209</f>
        <v>2765.0315216669983</v>
      </c>
      <c r="F208" s="52">
        <f t="shared" ref="F208:I208" si="65">F209</f>
        <v>0</v>
      </c>
      <c r="G208" s="52">
        <f t="shared" si="65"/>
        <v>0</v>
      </c>
      <c r="H208" s="52">
        <f t="shared" si="65"/>
        <v>0</v>
      </c>
      <c r="I208" s="52">
        <f t="shared" si="65"/>
        <v>0</v>
      </c>
    </row>
    <row r="209" spans="1:9" ht="25.5" x14ac:dyDescent="0.25">
      <c r="A209" s="269">
        <v>36</v>
      </c>
      <c r="B209" s="270"/>
      <c r="C209" s="271"/>
      <c r="D209" s="50" t="s">
        <v>66</v>
      </c>
      <c r="E209" s="52">
        <f>20833.13/7.5345</f>
        <v>2765.0315216669983</v>
      </c>
      <c r="F209" s="65"/>
      <c r="G209" s="65"/>
      <c r="H209" s="65"/>
      <c r="I209" s="65"/>
    </row>
    <row r="210" spans="1:9" ht="25.5" x14ac:dyDescent="0.25">
      <c r="A210" s="209">
        <v>4</v>
      </c>
      <c r="B210" s="210"/>
      <c r="C210" s="211"/>
      <c r="D210" s="50" t="s">
        <v>5</v>
      </c>
      <c r="E210" s="52">
        <f>E211</f>
        <v>1980.2243015462207</v>
      </c>
      <c r="F210" s="52">
        <f t="shared" ref="F210:I210" si="66">F211</f>
        <v>34640.652996217395</v>
      </c>
      <c r="G210" s="52">
        <f>G211</f>
        <v>5972.53</v>
      </c>
      <c r="H210" s="52">
        <f t="shared" si="66"/>
        <v>800</v>
      </c>
      <c r="I210" s="52">
        <f t="shared" si="66"/>
        <v>1500</v>
      </c>
    </row>
    <row r="211" spans="1:9" ht="25.5" x14ac:dyDescent="0.25">
      <c r="A211" s="212">
        <v>42</v>
      </c>
      <c r="B211" s="213"/>
      <c r="C211" s="214"/>
      <c r="D211" s="50" t="s">
        <v>158</v>
      </c>
      <c r="E211" s="52">
        <f>14920/7.5345</f>
        <v>1980.2243015462207</v>
      </c>
      <c r="F211" s="65">
        <f>261000/7.5345</f>
        <v>34640.652996217395</v>
      </c>
      <c r="G211" s="65">
        <f>5972.53</f>
        <v>5972.53</v>
      </c>
      <c r="H211" s="65">
        <v>800</v>
      </c>
      <c r="I211" s="65">
        <v>1500</v>
      </c>
    </row>
    <row r="212" spans="1:9" x14ac:dyDescent="0.25">
      <c r="A212" s="102" t="s">
        <v>117</v>
      </c>
      <c r="B212" s="102"/>
      <c r="C212" s="102"/>
      <c r="D212" s="102"/>
      <c r="E212" s="108">
        <f>E213</f>
        <v>5750.5235914791956</v>
      </c>
      <c r="F212" s="108">
        <f t="shared" ref="F212:I212" si="67">F213</f>
        <v>7697.9228880483106</v>
      </c>
      <c r="G212" s="108">
        <f t="shared" si="67"/>
        <v>9954.2100000000009</v>
      </c>
      <c r="H212" s="108">
        <f t="shared" si="67"/>
        <v>10000</v>
      </c>
      <c r="I212" s="108">
        <f t="shared" si="67"/>
        <v>10000</v>
      </c>
    </row>
    <row r="213" spans="1:9" x14ac:dyDescent="0.25">
      <c r="A213" s="77" t="s">
        <v>180</v>
      </c>
      <c r="B213" s="77"/>
      <c r="C213" s="77"/>
      <c r="D213" s="77"/>
      <c r="E213" s="93">
        <f>E215</f>
        <v>5750.5235914791956</v>
      </c>
      <c r="F213" s="93">
        <f t="shared" ref="F213:I213" si="68">F215</f>
        <v>7697.9228880483106</v>
      </c>
      <c r="G213" s="93">
        <f t="shared" si="68"/>
        <v>9954.2100000000009</v>
      </c>
      <c r="H213" s="93">
        <f t="shared" si="68"/>
        <v>10000</v>
      </c>
      <c r="I213" s="93">
        <f t="shared" si="68"/>
        <v>10000</v>
      </c>
    </row>
    <row r="214" spans="1:9" x14ac:dyDescent="0.25">
      <c r="A214" s="56" t="s">
        <v>88</v>
      </c>
      <c r="B214" s="56"/>
      <c r="C214" s="56"/>
      <c r="D214" s="56"/>
      <c r="E214" s="69">
        <f>E215</f>
        <v>5750.5235914791956</v>
      </c>
      <c r="F214" s="75">
        <f>58000/7.5345</f>
        <v>7697.9228880483106</v>
      </c>
      <c r="G214" s="75">
        <v>9954.2099999999991</v>
      </c>
      <c r="H214" s="75">
        <v>10000</v>
      </c>
      <c r="I214" s="75">
        <v>10000</v>
      </c>
    </row>
    <row r="215" spans="1:9" x14ac:dyDescent="0.25">
      <c r="A215" s="209">
        <v>3</v>
      </c>
      <c r="B215" s="210"/>
      <c r="C215" s="211"/>
      <c r="D215" s="50" t="s">
        <v>26</v>
      </c>
      <c r="E215" s="52">
        <f>E216+E217</f>
        <v>5750.5235914791956</v>
      </c>
      <c r="F215" s="52">
        <f t="shared" ref="F215:I215" si="69">F216+F217</f>
        <v>7697.9228880483106</v>
      </c>
      <c r="G215" s="52">
        <f t="shared" si="69"/>
        <v>9954.2100000000009</v>
      </c>
      <c r="H215" s="52">
        <f t="shared" si="69"/>
        <v>10000</v>
      </c>
      <c r="I215" s="52">
        <f t="shared" si="69"/>
        <v>10000</v>
      </c>
    </row>
    <row r="216" spans="1:9" x14ac:dyDescent="0.25">
      <c r="A216" s="212">
        <v>32</v>
      </c>
      <c r="B216" s="213"/>
      <c r="C216" s="214"/>
      <c r="D216" s="50" t="s">
        <v>44</v>
      </c>
      <c r="E216" s="52">
        <f>43327.32/7.5345</f>
        <v>5750.5235914791956</v>
      </c>
      <c r="F216" s="65">
        <f>55000/7.5345</f>
        <v>7299.7544628044325</v>
      </c>
      <c r="G216" s="65">
        <v>9556.0400000000009</v>
      </c>
      <c r="H216" s="65">
        <v>9600</v>
      </c>
      <c r="I216" s="65">
        <v>9600</v>
      </c>
    </row>
    <row r="217" spans="1:9" x14ac:dyDescent="0.25">
      <c r="A217" s="212">
        <v>35</v>
      </c>
      <c r="B217" s="213"/>
      <c r="C217" s="214"/>
      <c r="D217" s="50" t="s">
        <v>65</v>
      </c>
      <c r="E217" s="52"/>
      <c r="F217" s="65">
        <f>3000/7.5345</f>
        <v>398.16842524387812</v>
      </c>
      <c r="G217" s="65">
        <v>398.17</v>
      </c>
      <c r="H217" s="65">
        <v>400</v>
      </c>
      <c r="I217" s="65">
        <v>400</v>
      </c>
    </row>
    <row r="218" spans="1:9" x14ac:dyDescent="0.25">
      <c r="A218" s="231" t="s">
        <v>118</v>
      </c>
      <c r="B218" s="232"/>
      <c r="C218" s="232"/>
      <c r="D218" s="233"/>
      <c r="E218" s="104">
        <f>E223+E241</f>
        <v>48454.330081624532</v>
      </c>
      <c r="F218" s="104">
        <f>F223+F241+F232+F237</f>
        <v>46983.874178777616</v>
      </c>
      <c r="G218" s="104">
        <f>G223+G241+G219+G232+G237</f>
        <v>97551.26</v>
      </c>
      <c r="H218" s="104">
        <f t="shared" ref="H218:I218" si="70">H223+H241+H219+H232+H237</f>
        <v>1330</v>
      </c>
      <c r="I218" s="104">
        <f t="shared" si="70"/>
        <v>1330</v>
      </c>
    </row>
    <row r="219" spans="1:9" x14ac:dyDescent="0.25">
      <c r="A219" s="228" t="s">
        <v>217</v>
      </c>
      <c r="B219" s="229"/>
      <c r="C219" s="229"/>
      <c r="D219" s="230"/>
      <c r="E219" s="157"/>
      <c r="F219" s="157"/>
      <c r="G219" s="157">
        <f>G221</f>
        <v>19908.419999999998</v>
      </c>
      <c r="H219" s="157"/>
      <c r="I219" s="157"/>
    </row>
    <row r="220" spans="1:9" x14ac:dyDescent="0.25">
      <c r="A220" s="59" t="s">
        <v>88</v>
      </c>
      <c r="B220" s="59"/>
      <c r="C220" s="59"/>
      <c r="D220" s="59"/>
      <c r="E220" s="167"/>
      <c r="F220" s="167"/>
      <c r="G220" s="174">
        <v>19908.419999999998</v>
      </c>
      <c r="H220" s="167"/>
      <c r="I220" s="167"/>
    </row>
    <row r="221" spans="1:9" ht="25.5" x14ac:dyDescent="0.25">
      <c r="A221" s="209">
        <v>4</v>
      </c>
      <c r="B221" s="210"/>
      <c r="C221" s="211"/>
      <c r="D221" s="50" t="s">
        <v>5</v>
      </c>
      <c r="E221" s="165"/>
      <c r="F221" s="165"/>
      <c r="G221" s="166">
        <f>G222</f>
        <v>19908.419999999998</v>
      </c>
      <c r="H221" s="165"/>
      <c r="I221" s="165"/>
    </row>
    <row r="222" spans="1:9" ht="25.5" x14ac:dyDescent="0.25">
      <c r="A222" s="212">
        <v>42</v>
      </c>
      <c r="B222" s="213"/>
      <c r="C222" s="214"/>
      <c r="D222" s="50" t="s">
        <v>158</v>
      </c>
      <c r="E222" s="165"/>
      <c r="F222" s="165"/>
      <c r="G222" s="166">
        <v>19908.419999999998</v>
      </c>
      <c r="H222" s="165"/>
      <c r="I222" s="165"/>
    </row>
    <row r="223" spans="1:9" x14ac:dyDescent="0.25">
      <c r="A223" s="215" t="s">
        <v>211</v>
      </c>
      <c r="B223" s="216"/>
      <c r="C223" s="216"/>
      <c r="D223" s="217"/>
      <c r="E223" s="267">
        <f>E227</f>
        <v>41463.985665936692</v>
      </c>
      <c r="F223" s="312">
        <f>F227+F229</f>
        <v>3185.3474019510249</v>
      </c>
      <c r="G223" s="312">
        <f t="shared" ref="G223:I223" si="71">G227+G229</f>
        <v>17917.579999999998</v>
      </c>
      <c r="H223" s="312">
        <f t="shared" si="71"/>
        <v>1330</v>
      </c>
      <c r="I223" s="312">
        <f t="shared" si="71"/>
        <v>1330</v>
      </c>
    </row>
    <row r="224" spans="1:9" x14ac:dyDescent="0.25">
      <c r="A224" s="220" t="s">
        <v>119</v>
      </c>
      <c r="B224" s="221"/>
      <c r="C224" s="221"/>
      <c r="D224" s="222"/>
      <c r="E224" s="268"/>
      <c r="F224" s="313"/>
      <c r="G224" s="313"/>
      <c r="H224" s="313"/>
      <c r="I224" s="313"/>
    </row>
    <row r="225" spans="1:9" x14ac:dyDescent="0.25">
      <c r="A225" s="59" t="s">
        <v>88</v>
      </c>
      <c r="B225" s="59"/>
      <c r="C225" s="59"/>
      <c r="D225" s="59"/>
      <c r="E225" s="66">
        <f>88410.4/7.5345</f>
        <v>11734.076581060453</v>
      </c>
      <c r="F225" s="75">
        <f>24000/7.5345</f>
        <v>3185.3474019510249</v>
      </c>
      <c r="G225" s="75">
        <f>G223-G226</f>
        <v>4645.2999999999975</v>
      </c>
      <c r="H225" s="75">
        <v>1330</v>
      </c>
      <c r="I225" s="75">
        <v>1330</v>
      </c>
    </row>
    <row r="226" spans="1:9" x14ac:dyDescent="0.25">
      <c r="A226" s="59" t="s">
        <v>90</v>
      </c>
      <c r="B226" s="59"/>
      <c r="C226" s="59"/>
      <c r="D226" s="59"/>
      <c r="E226" s="66">
        <f>224000/7.5345</f>
        <v>29729.909084876235</v>
      </c>
      <c r="F226" s="75"/>
      <c r="G226" s="75">
        <v>13272.28</v>
      </c>
      <c r="H226" s="75"/>
      <c r="I226" s="75"/>
    </row>
    <row r="227" spans="1:9" x14ac:dyDescent="0.25">
      <c r="A227" s="209">
        <v>3</v>
      </c>
      <c r="B227" s="210"/>
      <c r="C227" s="211"/>
      <c r="D227" s="50" t="s">
        <v>26</v>
      </c>
      <c r="E227" s="52">
        <f>E228</f>
        <v>41463.985665936692</v>
      </c>
      <c r="F227" s="52">
        <f t="shared" ref="F227:I227" si="72">F228</f>
        <v>2256.2877430486428</v>
      </c>
      <c r="G227" s="52">
        <f t="shared" si="72"/>
        <v>1327.23</v>
      </c>
      <c r="H227" s="52">
        <f t="shared" si="72"/>
        <v>1330</v>
      </c>
      <c r="I227" s="52">
        <f t="shared" si="72"/>
        <v>1330</v>
      </c>
    </row>
    <row r="228" spans="1:9" x14ac:dyDescent="0.25">
      <c r="A228" s="212">
        <v>32</v>
      </c>
      <c r="B228" s="213"/>
      <c r="C228" s="214"/>
      <c r="D228" s="50" t="s">
        <v>44</v>
      </c>
      <c r="E228" s="52">
        <f>312410.4/7.5345</f>
        <v>41463.985665936692</v>
      </c>
      <c r="F228" s="65">
        <f>17000/7.5345</f>
        <v>2256.2877430486428</v>
      </c>
      <c r="G228" s="65">
        <v>1327.23</v>
      </c>
      <c r="H228" s="65">
        <v>1330</v>
      </c>
      <c r="I228" s="65">
        <v>1330</v>
      </c>
    </row>
    <row r="229" spans="1:9" ht="25.5" x14ac:dyDescent="0.25">
      <c r="A229" s="209">
        <v>4</v>
      </c>
      <c r="B229" s="210"/>
      <c r="C229" s="211"/>
      <c r="D229" s="50" t="s">
        <v>5</v>
      </c>
      <c r="E229" s="52"/>
      <c r="F229" s="65">
        <f>F230</f>
        <v>929.05965890238235</v>
      </c>
      <c r="G229" s="65">
        <f>G231</f>
        <v>16590.349999999999</v>
      </c>
      <c r="H229" s="65"/>
      <c r="I229" s="65"/>
    </row>
    <row r="230" spans="1:9" ht="25.5" x14ac:dyDescent="0.25">
      <c r="A230" s="212">
        <v>42</v>
      </c>
      <c r="B230" s="213"/>
      <c r="C230" s="214"/>
      <c r="D230" s="50" t="s">
        <v>158</v>
      </c>
      <c r="E230" s="52"/>
      <c r="F230" s="65">
        <f>7000/7.5345</f>
        <v>929.05965890238235</v>
      </c>
      <c r="G230" s="65"/>
      <c r="H230" s="65"/>
      <c r="I230" s="65"/>
    </row>
    <row r="231" spans="1:9" ht="25.5" x14ac:dyDescent="0.25">
      <c r="A231" s="161"/>
      <c r="B231" s="162"/>
      <c r="C231" s="162">
        <v>45</v>
      </c>
      <c r="D231" s="163" t="s">
        <v>185</v>
      </c>
      <c r="E231" s="52"/>
      <c r="F231" s="65"/>
      <c r="G231" s="65">
        <v>16590.349999999999</v>
      </c>
      <c r="H231" s="65"/>
      <c r="I231" s="65"/>
    </row>
    <row r="232" spans="1:9" ht="45.75" customHeight="1" x14ac:dyDescent="0.25">
      <c r="A232" s="223" t="s">
        <v>212</v>
      </c>
      <c r="B232" s="224"/>
      <c r="C232" s="224"/>
      <c r="D232" s="225"/>
      <c r="E232" s="80"/>
      <c r="F232" s="86">
        <f>F235</f>
        <v>11945.052757316344</v>
      </c>
      <c r="G232" s="86">
        <f t="shared" ref="G232:I232" si="73">G235</f>
        <v>19908.419999999998</v>
      </c>
      <c r="H232" s="86">
        <f t="shared" si="73"/>
        <v>0</v>
      </c>
      <c r="I232" s="86">
        <f t="shared" si="73"/>
        <v>0</v>
      </c>
    </row>
    <row r="233" spans="1:9" x14ac:dyDescent="0.25">
      <c r="A233" s="59" t="s">
        <v>88</v>
      </c>
      <c r="B233" s="59"/>
      <c r="C233" s="59"/>
      <c r="D233" s="59"/>
      <c r="E233" s="58"/>
      <c r="F233" s="75">
        <f>35000/7.5345</f>
        <v>4645.298294511912</v>
      </c>
      <c r="G233" s="75">
        <f>G232-G234</f>
        <v>12608.669999999998</v>
      </c>
      <c r="H233" s="75"/>
      <c r="I233" s="75"/>
    </row>
    <row r="234" spans="1:9" x14ac:dyDescent="0.25">
      <c r="A234" s="59" t="s">
        <v>90</v>
      </c>
      <c r="B234" s="59"/>
      <c r="C234" s="59"/>
      <c r="D234" s="59"/>
      <c r="E234" s="58"/>
      <c r="F234" s="75">
        <f>55000/7.5345</f>
        <v>7299.7544628044325</v>
      </c>
      <c r="G234" s="75">
        <v>7299.75</v>
      </c>
      <c r="H234" s="75"/>
      <c r="I234" s="75"/>
    </row>
    <row r="235" spans="1:9" ht="25.5" x14ac:dyDescent="0.25">
      <c r="A235" s="209">
        <v>4</v>
      </c>
      <c r="B235" s="210"/>
      <c r="C235" s="211"/>
      <c r="D235" s="50" t="s">
        <v>5</v>
      </c>
      <c r="E235" s="52"/>
      <c r="F235" s="65">
        <f>F236</f>
        <v>11945.052757316344</v>
      </c>
      <c r="G235" s="65">
        <f>G236</f>
        <v>19908.419999999998</v>
      </c>
      <c r="H235" s="65"/>
      <c r="I235" s="65"/>
    </row>
    <row r="236" spans="1:9" ht="25.5" x14ac:dyDescent="0.25">
      <c r="A236" s="212">
        <v>45</v>
      </c>
      <c r="B236" s="213"/>
      <c r="C236" s="214"/>
      <c r="D236" s="50" t="s">
        <v>185</v>
      </c>
      <c r="E236" s="52"/>
      <c r="F236" s="65">
        <f>90000/7.5345</f>
        <v>11945.052757316344</v>
      </c>
      <c r="G236" s="65">
        <v>19908.419999999998</v>
      </c>
      <c r="H236" s="65"/>
      <c r="I236" s="65"/>
    </row>
    <row r="237" spans="1:9" ht="45" customHeight="1" x14ac:dyDescent="0.25">
      <c r="A237" s="223" t="s">
        <v>213</v>
      </c>
      <c r="B237" s="224"/>
      <c r="C237" s="224"/>
      <c r="D237" s="225"/>
      <c r="E237" s="80"/>
      <c r="F237" s="86">
        <f>F239</f>
        <v>31853.474019510249</v>
      </c>
      <c r="G237" s="86">
        <f t="shared" ref="G237:I237" si="74">G239</f>
        <v>39816.839999999997</v>
      </c>
      <c r="H237" s="86">
        <f t="shared" si="74"/>
        <v>0</v>
      </c>
      <c r="I237" s="86">
        <f t="shared" si="74"/>
        <v>0</v>
      </c>
    </row>
    <row r="238" spans="1:9" x14ac:dyDescent="0.25">
      <c r="A238" s="59" t="s">
        <v>88</v>
      </c>
      <c r="B238" s="59"/>
      <c r="C238" s="59"/>
      <c r="D238" s="59"/>
      <c r="E238" s="58"/>
      <c r="F238" s="75">
        <f>240000/7.5345</f>
        <v>31853.474019510249</v>
      </c>
      <c r="G238" s="75">
        <v>39816.839999999997</v>
      </c>
      <c r="H238" s="75"/>
      <c r="I238" s="75"/>
    </row>
    <row r="239" spans="1:9" ht="25.5" x14ac:dyDescent="0.25">
      <c r="A239" s="209">
        <v>4</v>
      </c>
      <c r="B239" s="210"/>
      <c r="C239" s="211"/>
      <c r="D239" s="50" t="s">
        <v>5</v>
      </c>
      <c r="E239" s="52"/>
      <c r="F239" s="65">
        <f>F240</f>
        <v>31853.474019510249</v>
      </c>
      <c r="G239" s="65">
        <f>G240</f>
        <v>39816.839999999997</v>
      </c>
      <c r="H239" s="65"/>
      <c r="I239" s="65"/>
    </row>
    <row r="240" spans="1:9" ht="25.5" x14ac:dyDescent="0.25">
      <c r="A240" s="212">
        <v>45</v>
      </c>
      <c r="B240" s="213"/>
      <c r="C240" s="214"/>
      <c r="D240" s="50" t="s">
        <v>185</v>
      </c>
      <c r="E240" s="52"/>
      <c r="F240" s="65">
        <f>240000/7.5345</f>
        <v>31853.474019510249</v>
      </c>
      <c r="G240" s="65">
        <v>39816.839999999997</v>
      </c>
      <c r="H240" s="65"/>
      <c r="I240" s="65"/>
    </row>
    <row r="241" spans="1:9" x14ac:dyDescent="0.25">
      <c r="A241" s="83" t="s">
        <v>181</v>
      </c>
      <c r="B241" s="83"/>
      <c r="C241" s="83"/>
      <c r="D241" s="92"/>
      <c r="E241" s="90">
        <f>E243</f>
        <v>6990.3444156878359</v>
      </c>
      <c r="F241" s="81"/>
      <c r="G241" s="81"/>
      <c r="H241" s="81"/>
      <c r="I241" s="81"/>
    </row>
    <row r="242" spans="1:9" x14ac:dyDescent="0.25">
      <c r="A242" s="59" t="s">
        <v>88</v>
      </c>
      <c r="B242" s="59"/>
      <c r="C242" s="59"/>
      <c r="D242" s="55"/>
      <c r="E242" s="66">
        <f>E241</f>
        <v>6990.3444156878359</v>
      </c>
      <c r="F242" s="115"/>
      <c r="G242" s="115"/>
      <c r="H242" s="115"/>
      <c r="I242" s="115"/>
    </row>
    <row r="243" spans="1:9" x14ac:dyDescent="0.25">
      <c r="A243" s="209">
        <v>3</v>
      </c>
      <c r="B243" s="210"/>
      <c r="C243" s="211"/>
      <c r="D243" s="50" t="s">
        <v>26</v>
      </c>
      <c r="E243" s="52">
        <f>E244</f>
        <v>6990.3444156878359</v>
      </c>
      <c r="F243" s="65"/>
      <c r="G243" s="65"/>
      <c r="H243" s="65"/>
      <c r="I243" s="65"/>
    </row>
    <row r="244" spans="1:9" x14ac:dyDescent="0.25">
      <c r="A244" s="212">
        <v>32</v>
      </c>
      <c r="B244" s="213"/>
      <c r="C244" s="214"/>
      <c r="D244" s="50" t="s">
        <v>44</v>
      </c>
      <c r="E244" s="52">
        <f>52668.75/7.5345</f>
        <v>6990.3444156878359</v>
      </c>
      <c r="F244" s="65"/>
      <c r="G244" s="65"/>
      <c r="H244" s="65"/>
      <c r="I244" s="65"/>
    </row>
    <row r="245" spans="1:9" x14ac:dyDescent="0.25">
      <c r="A245" s="109" t="s">
        <v>120</v>
      </c>
      <c r="B245" s="109"/>
      <c r="C245" s="109"/>
      <c r="D245" s="109"/>
      <c r="E245" s="110">
        <f>E246+E253</f>
        <v>103196.86110558099</v>
      </c>
      <c r="F245" s="110">
        <f>F246+F253</f>
        <v>89295.905501360394</v>
      </c>
      <c r="G245" s="110">
        <f>G246+G253</f>
        <v>152631.23000000001</v>
      </c>
      <c r="H245" s="110">
        <f t="shared" ref="H245:I245" si="75">H246+H253</f>
        <v>15000</v>
      </c>
      <c r="I245" s="110">
        <f t="shared" si="75"/>
        <v>8000</v>
      </c>
    </row>
    <row r="246" spans="1:9" ht="15.75" x14ac:dyDescent="0.25">
      <c r="A246" s="261" t="s">
        <v>182</v>
      </c>
      <c r="B246" s="262"/>
      <c r="C246" s="262"/>
      <c r="D246" s="263"/>
      <c r="E246" s="91"/>
      <c r="F246" s="86">
        <f>F249+F251</f>
        <v>30698.785586303005</v>
      </c>
      <c r="G246" s="86">
        <f>G249+G251</f>
        <v>132722.81</v>
      </c>
      <c r="H246" s="86">
        <f t="shared" ref="H246:I246" si="76">H249+H251</f>
        <v>15000</v>
      </c>
      <c r="I246" s="86">
        <f t="shared" si="76"/>
        <v>0</v>
      </c>
    </row>
    <row r="247" spans="1:9" ht="15.75" x14ac:dyDescent="0.25">
      <c r="A247" s="59" t="s">
        <v>88</v>
      </c>
      <c r="B247" s="59"/>
      <c r="C247" s="59"/>
      <c r="D247" s="55"/>
      <c r="E247" s="116"/>
      <c r="F247" s="75">
        <f>231300/7.5345</f>
        <v>30698.785586303005</v>
      </c>
      <c r="G247" s="75"/>
      <c r="H247" s="75"/>
      <c r="I247" s="75"/>
    </row>
    <row r="248" spans="1:9" ht="15.75" x14ac:dyDescent="0.25">
      <c r="A248" s="59" t="s">
        <v>90</v>
      </c>
      <c r="B248" s="59"/>
      <c r="C248" s="59"/>
      <c r="D248" s="59"/>
      <c r="E248" s="116"/>
      <c r="F248" s="75"/>
      <c r="G248" s="75">
        <v>132722.81</v>
      </c>
      <c r="H248" s="75">
        <v>15000</v>
      </c>
      <c r="I248" s="75"/>
    </row>
    <row r="249" spans="1:9" ht="25.5" x14ac:dyDescent="0.25">
      <c r="A249" s="209">
        <v>4</v>
      </c>
      <c r="B249" s="210"/>
      <c r="C249" s="211"/>
      <c r="D249" s="50" t="s">
        <v>5</v>
      </c>
      <c r="E249" s="52"/>
      <c r="F249" s="65">
        <f>F250</f>
        <v>18581.193178047648</v>
      </c>
      <c r="G249" s="65">
        <f>G250</f>
        <v>132722.81</v>
      </c>
      <c r="H249" s="65">
        <f>H250</f>
        <v>15000</v>
      </c>
      <c r="I249" s="65"/>
    </row>
    <row r="250" spans="1:9" ht="25.5" x14ac:dyDescent="0.25">
      <c r="A250" s="212">
        <v>42</v>
      </c>
      <c r="B250" s="213"/>
      <c r="C250" s="214"/>
      <c r="D250" s="50" t="s">
        <v>158</v>
      </c>
      <c r="E250" s="52"/>
      <c r="F250" s="65">
        <f>140000/7.5345</f>
        <v>18581.193178047648</v>
      </c>
      <c r="G250" s="65">
        <v>132722.81</v>
      </c>
      <c r="H250" s="65">
        <v>15000</v>
      </c>
      <c r="I250" s="65"/>
    </row>
    <row r="251" spans="1:9" x14ac:dyDescent="0.25">
      <c r="A251" s="209">
        <v>3</v>
      </c>
      <c r="B251" s="210"/>
      <c r="C251" s="211"/>
      <c r="D251" s="50" t="s">
        <v>26</v>
      </c>
      <c r="E251" s="52"/>
      <c r="F251" s="65">
        <f>F252</f>
        <v>12117.592408255357</v>
      </c>
      <c r="G251" s="65"/>
      <c r="H251" s="65"/>
      <c r="I251" s="65"/>
    </row>
    <row r="252" spans="1:9" x14ac:dyDescent="0.25">
      <c r="A252" s="212">
        <v>32</v>
      </c>
      <c r="B252" s="213"/>
      <c r="C252" s="214"/>
      <c r="D252" s="50" t="s">
        <v>44</v>
      </c>
      <c r="E252" s="52"/>
      <c r="F252" s="65">
        <f>91300/7.5345</f>
        <v>12117.592408255357</v>
      </c>
      <c r="G252" s="65"/>
      <c r="H252" s="65"/>
      <c r="I252" s="65"/>
    </row>
    <row r="253" spans="1:9" x14ac:dyDescent="0.25">
      <c r="A253" s="246" t="s">
        <v>184</v>
      </c>
      <c r="B253" s="247"/>
      <c r="C253" s="247"/>
      <c r="D253" s="296"/>
      <c r="E253" s="314">
        <f>E259</f>
        <v>103196.86110558099</v>
      </c>
      <c r="F253" s="312">
        <f>F257+F259</f>
        <v>58597.119915057396</v>
      </c>
      <c r="G253" s="312">
        <f t="shared" ref="G253:I253" si="77">G257+G259</f>
        <v>19908.420000000002</v>
      </c>
      <c r="H253" s="312">
        <f t="shared" si="77"/>
        <v>0</v>
      </c>
      <c r="I253" s="312">
        <f t="shared" si="77"/>
        <v>8000</v>
      </c>
    </row>
    <row r="254" spans="1:9" x14ac:dyDescent="0.25">
      <c r="A254" s="87" t="s">
        <v>183</v>
      </c>
      <c r="B254" s="88"/>
      <c r="C254" s="88"/>
      <c r="D254" s="88"/>
      <c r="E254" s="315"/>
      <c r="F254" s="313"/>
      <c r="G254" s="313"/>
      <c r="H254" s="313"/>
      <c r="I254" s="313"/>
    </row>
    <row r="255" spans="1:9" x14ac:dyDescent="0.25">
      <c r="A255" s="59" t="s">
        <v>90</v>
      </c>
      <c r="B255" s="59"/>
      <c r="C255" s="59"/>
      <c r="D255" s="59"/>
      <c r="E255" s="66">
        <f>396180.5/7.5345</f>
        <v>52582.188599110756</v>
      </c>
      <c r="F255" s="75">
        <f>90000/7.5345</f>
        <v>11945.052757316344</v>
      </c>
      <c r="G255" s="75">
        <v>19908.419999999998</v>
      </c>
      <c r="H255" s="75"/>
      <c r="I255" s="75">
        <v>8000</v>
      </c>
    </row>
    <row r="256" spans="1:9" x14ac:dyDescent="0.25">
      <c r="A256" s="56" t="s">
        <v>113</v>
      </c>
      <c r="B256" s="56"/>
      <c r="C256" s="56"/>
      <c r="D256" s="56"/>
      <c r="E256" s="66">
        <f>381356.25/7.5345</f>
        <v>50614.672506470233</v>
      </c>
      <c r="F256" s="75">
        <f>351500/7.5345</f>
        <v>46652.067157741054</v>
      </c>
      <c r="G256" s="75"/>
      <c r="H256" s="75"/>
      <c r="I256" s="75"/>
    </row>
    <row r="257" spans="1:9" x14ac:dyDescent="0.25">
      <c r="A257" s="209">
        <v>3</v>
      </c>
      <c r="B257" s="210"/>
      <c r="C257" s="211"/>
      <c r="D257" s="50" t="s">
        <v>26</v>
      </c>
      <c r="E257" s="117"/>
      <c r="F257" s="65">
        <f>F258</f>
        <v>199.08421262193906</v>
      </c>
      <c r="G257" s="65">
        <f t="shared" ref="G257:I257" si="78">G258</f>
        <v>6636.14</v>
      </c>
      <c r="H257" s="65">
        <f t="shared" si="78"/>
        <v>0</v>
      </c>
      <c r="I257" s="65">
        <f t="shared" si="78"/>
        <v>0</v>
      </c>
    </row>
    <row r="258" spans="1:9" x14ac:dyDescent="0.25">
      <c r="A258" s="264">
        <v>32</v>
      </c>
      <c r="B258" s="265"/>
      <c r="C258" s="266"/>
      <c r="D258" s="118" t="s">
        <v>44</v>
      </c>
      <c r="E258" s="117"/>
      <c r="F258" s="65">
        <f>1500/7.5345</f>
        <v>199.08421262193906</v>
      </c>
      <c r="G258" s="65">
        <v>6636.14</v>
      </c>
      <c r="H258" s="65"/>
      <c r="I258" s="65"/>
    </row>
    <row r="259" spans="1:9" ht="25.5" x14ac:dyDescent="0.25">
      <c r="A259" s="209">
        <v>4</v>
      </c>
      <c r="B259" s="210"/>
      <c r="C259" s="211"/>
      <c r="D259" s="50" t="s">
        <v>5</v>
      </c>
      <c r="E259" s="52">
        <f>E260+E261</f>
        <v>103196.86110558099</v>
      </c>
      <c r="F259" s="65">
        <f>F260+F261</f>
        <v>58398.03570243546</v>
      </c>
      <c r="G259" s="65">
        <f t="shared" ref="G259:I259" si="79">G260+G261</f>
        <v>13272.28</v>
      </c>
      <c r="H259" s="65">
        <f t="shared" si="79"/>
        <v>0</v>
      </c>
      <c r="I259" s="65">
        <f t="shared" si="79"/>
        <v>8000</v>
      </c>
    </row>
    <row r="260" spans="1:9" ht="25.5" x14ac:dyDescent="0.25">
      <c r="A260" s="212">
        <v>42</v>
      </c>
      <c r="B260" s="213"/>
      <c r="C260" s="214"/>
      <c r="D260" s="50" t="s">
        <v>158</v>
      </c>
      <c r="E260" s="52">
        <f>13785.4/7.5345</f>
        <v>1829.6370031189858</v>
      </c>
      <c r="F260" s="65">
        <f>5000/7.5345</f>
        <v>663.61404207313024</v>
      </c>
      <c r="G260" s="65"/>
      <c r="H260" s="65"/>
      <c r="I260" s="65">
        <v>8000</v>
      </c>
    </row>
    <row r="261" spans="1:9" ht="29.25" x14ac:dyDescent="0.25">
      <c r="A261" s="212">
        <v>45</v>
      </c>
      <c r="B261" s="213"/>
      <c r="C261" s="214"/>
      <c r="D261" s="168" t="s">
        <v>185</v>
      </c>
      <c r="E261" s="52">
        <f>763751.35/7.5345</f>
        <v>101367.224102462</v>
      </c>
      <c r="F261" s="65">
        <f>435000/7.5345</f>
        <v>57734.421660362328</v>
      </c>
      <c r="G261" s="65">
        <v>13272.28</v>
      </c>
      <c r="H261" s="65"/>
      <c r="I261" s="65"/>
    </row>
    <row r="262" spans="1:9" x14ac:dyDescent="0.25">
      <c r="A262" s="123" t="s">
        <v>121</v>
      </c>
      <c r="B262" s="123"/>
      <c r="C262" s="123"/>
      <c r="D262" s="123"/>
      <c r="E262" s="124">
        <f>E263+E274+E280+E286</f>
        <v>161971.22569513568</v>
      </c>
      <c r="F262" s="124">
        <f t="shared" ref="F262:I262" si="80">F263+F274+F280+F286</f>
        <v>209281.96960647687</v>
      </c>
      <c r="G262" s="124">
        <f t="shared" si="80"/>
        <v>227447.08000000002</v>
      </c>
      <c r="H262" s="124">
        <f t="shared" si="80"/>
        <v>209130</v>
      </c>
      <c r="I262" s="124">
        <f t="shared" si="80"/>
        <v>210954.93</v>
      </c>
    </row>
    <row r="263" spans="1:9" x14ac:dyDescent="0.25">
      <c r="A263" s="102" t="s">
        <v>122</v>
      </c>
      <c r="B263" s="102"/>
      <c r="C263" s="102"/>
      <c r="D263" s="102"/>
      <c r="E263" s="105">
        <f>E264</f>
        <v>150717.65876965952</v>
      </c>
      <c r="F263" s="105">
        <f t="shared" ref="F263:I263" si="81">F264</f>
        <v>194018.84663879484</v>
      </c>
      <c r="G263" s="105">
        <f t="shared" si="81"/>
        <v>208865.88</v>
      </c>
      <c r="H263" s="105">
        <f t="shared" si="81"/>
        <v>189130</v>
      </c>
      <c r="I263" s="105">
        <f t="shared" si="81"/>
        <v>190954.93</v>
      </c>
    </row>
    <row r="264" spans="1:9" x14ac:dyDescent="0.25">
      <c r="A264" s="77" t="s">
        <v>123</v>
      </c>
      <c r="B264" s="78"/>
      <c r="C264" s="78"/>
      <c r="D264" s="78"/>
      <c r="E264" s="79">
        <f>E268+E272</f>
        <v>150717.65876965952</v>
      </c>
      <c r="F264" s="79">
        <f t="shared" ref="F264:I264" si="82">F268+F272</f>
        <v>194018.84663879484</v>
      </c>
      <c r="G264" s="79">
        <f t="shared" si="82"/>
        <v>208865.88</v>
      </c>
      <c r="H264" s="79">
        <f t="shared" si="82"/>
        <v>189130</v>
      </c>
      <c r="I264" s="79">
        <f t="shared" si="82"/>
        <v>190954.93</v>
      </c>
    </row>
    <row r="265" spans="1:9" x14ac:dyDescent="0.25">
      <c r="A265" s="119" t="s">
        <v>124</v>
      </c>
      <c r="B265" s="120"/>
      <c r="C265" s="120"/>
      <c r="D265" s="120"/>
      <c r="E265" s="120"/>
      <c r="F265" s="121"/>
      <c r="G265" s="121"/>
      <c r="H265" s="121"/>
      <c r="I265" s="121"/>
    </row>
    <row r="266" spans="1:9" x14ac:dyDescent="0.25">
      <c r="A266" s="59" t="s">
        <v>90</v>
      </c>
      <c r="B266" s="59"/>
      <c r="C266" s="59"/>
      <c r="D266" s="59"/>
      <c r="E266" s="66">
        <f>1920/7.5345</f>
        <v>254.82779215608201</v>
      </c>
      <c r="F266" s="75">
        <f>2150/7.5345</f>
        <v>285.354038091446</v>
      </c>
      <c r="G266" s="75">
        <f>29199.02+265.45</f>
        <v>29464.47</v>
      </c>
      <c r="H266" s="75">
        <v>29460</v>
      </c>
      <c r="I266" s="75">
        <v>29465</v>
      </c>
    </row>
    <row r="267" spans="1:9" x14ac:dyDescent="0.25">
      <c r="A267" s="56" t="s">
        <v>113</v>
      </c>
      <c r="B267" s="56"/>
      <c r="C267" s="56"/>
      <c r="D267" s="56"/>
      <c r="E267" s="68">
        <f>1133662.2/7.5345</f>
        <v>150462.83097750347</v>
      </c>
      <c r="F267" s="75">
        <f>1459685/7.5345</f>
        <v>193733.49260070341</v>
      </c>
      <c r="G267" s="75">
        <f>G264-G266</f>
        <v>179401.41</v>
      </c>
      <c r="H267" s="75">
        <f>H264-H266</f>
        <v>159670</v>
      </c>
      <c r="I267" s="75">
        <f>I264-I266</f>
        <v>161489.93</v>
      </c>
    </row>
    <row r="268" spans="1:9" x14ac:dyDescent="0.25">
      <c r="A268" s="209">
        <v>3</v>
      </c>
      <c r="B268" s="210"/>
      <c r="C268" s="211"/>
      <c r="D268" s="50" t="s">
        <v>26</v>
      </c>
      <c r="E268" s="52">
        <f>E269+E270+E271</f>
        <v>149869.36093967746</v>
      </c>
      <c r="F268" s="52">
        <f t="shared" ref="F268:I268" si="83">F269+F270+F271</f>
        <v>189838.07817373413</v>
      </c>
      <c r="G268" s="52">
        <f t="shared" si="83"/>
        <v>206476.87</v>
      </c>
      <c r="H268" s="52">
        <f t="shared" si="83"/>
        <v>188731.83</v>
      </c>
      <c r="I268" s="52">
        <f t="shared" si="83"/>
        <v>190291.32</v>
      </c>
    </row>
    <row r="269" spans="1:9" x14ac:dyDescent="0.25">
      <c r="A269" s="212">
        <v>31</v>
      </c>
      <c r="B269" s="213"/>
      <c r="C269" s="214"/>
      <c r="D269" s="50" t="s">
        <v>29</v>
      </c>
      <c r="E269" s="52">
        <f>860207.82/7.5345</f>
        <v>114169.19769062311</v>
      </c>
      <c r="F269" s="65">
        <f>1113035/7.5345</f>
        <v>147725.1310637733</v>
      </c>
      <c r="G269" s="65">
        <v>162120.91</v>
      </c>
      <c r="H269" s="65">
        <v>147985.93</v>
      </c>
      <c r="I269" s="65">
        <v>148118.65</v>
      </c>
    </row>
    <row r="270" spans="1:9" x14ac:dyDescent="0.25">
      <c r="A270" s="212">
        <v>32</v>
      </c>
      <c r="B270" s="213"/>
      <c r="C270" s="214"/>
      <c r="D270" s="50" t="s">
        <v>44</v>
      </c>
      <c r="E270" s="52">
        <f>263124.14/7.5345</f>
        <v>34922.574822483242</v>
      </c>
      <c r="F270" s="65">
        <f>310550/7.5345</f>
        <v>41217.068153162116</v>
      </c>
      <c r="G270" s="65">
        <v>43426.9</v>
      </c>
      <c r="H270" s="65">
        <v>39816.839999999997</v>
      </c>
      <c r="I270" s="65">
        <v>41144.07</v>
      </c>
    </row>
    <row r="271" spans="1:9" x14ac:dyDescent="0.25">
      <c r="A271" s="212">
        <v>34</v>
      </c>
      <c r="B271" s="213"/>
      <c r="C271" s="214"/>
      <c r="D271" s="50" t="s">
        <v>186</v>
      </c>
      <c r="E271" s="52">
        <f>5858.74/7.5345</f>
        <v>777.5884265711062</v>
      </c>
      <c r="F271" s="65">
        <f>6750/7.5345</f>
        <v>895.87895679872577</v>
      </c>
      <c r="G271" s="65">
        <v>929.06</v>
      </c>
      <c r="H271" s="65">
        <v>929.06</v>
      </c>
      <c r="I271" s="65">
        <v>1028.5999999999999</v>
      </c>
    </row>
    <row r="272" spans="1:9" ht="25.5" x14ac:dyDescent="0.25">
      <c r="A272" s="209">
        <v>4</v>
      </c>
      <c r="B272" s="210"/>
      <c r="C272" s="211"/>
      <c r="D272" s="50" t="s">
        <v>5</v>
      </c>
      <c r="E272" s="52">
        <f>E273</f>
        <v>848.29782998208236</v>
      </c>
      <c r="F272" s="52">
        <f t="shared" ref="F272:I272" si="84">F273</f>
        <v>4180.7684650607207</v>
      </c>
      <c r="G272" s="52">
        <f t="shared" si="84"/>
        <v>2389.0100000000002</v>
      </c>
      <c r="H272" s="52">
        <f t="shared" si="84"/>
        <v>398.17</v>
      </c>
      <c r="I272" s="52">
        <f t="shared" si="84"/>
        <v>663.61</v>
      </c>
    </row>
    <row r="273" spans="1:9" ht="25.5" x14ac:dyDescent="0.25">
      <c r="A273" s="212">
        <v>42</v>
      </c>
      <c r="B273" s="213"/>
      <c r="C273" s="214"/>
      <c r="D273" s="50" t="s">
        <v>158</v>
      </c>
      <c r="E273" s="52">
        <f>6391.5/7.5345</f>
        <v>848.29782998208236</v>
      </c>
      <c r="F273" s="65">
        <f>31500/7.5345</f>
        <v>4180.7684650607207</v>
      </c>
      <c r="G273" s="65">
        <v>2389.0100000000002</v>
      </c>
      <c r="H273" s="65">
        <v>398.17</v>
      </c>
      <c r="I273" s="65">
        <v>663.61</v>
      </c>
    </row>
    <row r="274" spans="1:9" x14ac:dyDescent="0.25">
      <c r="A274" s="54" t="s">
        <v>125</v>
      </c>
      <c r="B274" s="102"/>
      <c r="C274" s="102"/>
      <c r="D274" s="102"/>
      <c r="E274" s="105">
        <f>E275</f>
        <v>3389.7405269095493</v>
      </c>
      <c r="F274" s="105">
        <f t="shared" ref="F274:I274" si="85">F275</f>
        <v>5308.9123365850419</v>
      </c>
      <c r="G274" s="105">
        <f t="shared" si="85"/>
        <v>3981.69</v>
      </c>
      <c r="H274" s="105">
        <f>H275</f>
        <v>4000</v>
      </c>
      <c r="I274" s="105">
        <f t="shared" si="85"/>
        <v>4000</v>
      </c>
    </row>
    <row r="275" spans="1:9" x14ac:dyDescent="0.25">
      <c r="A275" s="246" t="s">
        <v>126</v>
      </c>
      <c r="B275" s="247"/>
      <c r="C275" s="247"/>
      <c r="D275" s="247"/>
      <c r="E275" s="234">
        <f>E278</f>
        <v>3389.7405269095493</v>
      </c>
      <c r="F275" s="234">
        <f t="shared" ref="F275:I275" si="86">F278</f>
        <v>5308.9123365850419</v>
      </c>
      <c r="G275" s="234">
        <f t="shared" si="86"/>
        <v>3981.69</v>
      </c>
      <c r="H275" s="234">
        <f t="shared" si="86"/>
        <v>4000</v>
      </c>
      <c r="I275" s="234">
        <f t="shared" si="86"/>
        <v>4000</v>
      </c>
    </row>
    <row r="276" spans="1:9" x14ac:dyDescent="0.25">
      <c r="A276" s="220" t="s">
        <v>127</v>
      </c>
      <c r="B276" s="221"/>
      <c r="C276" s="221"/>
      <c r="D276" s="222"/>
      <c r="E276" s="235"/>
      <c r="F276" s="235"/>
      <c r="G276" s="235"/>
      <c r="H276" s="235"/>
      <c r="I276" s="235"/>
    </row>
    <row r="277" spans="1:9" x14ac:dyDescent="0.25">
      <c r="A277" s="59" t="s">
        <v>113</v>
      </c>
      <c r="B277" s="59"/>
      <c r="C277" s="59"/>
      <c r="D277" s="59"/>
      <c r="E277" s="68">
        <f>E275</f>
        <v>3389.7405269095493</v>
      </c>
      <c r="F277" s="75">
        <f>40000/7.5345</f>
        <v>5308.9123365850419</v>
      </c>
      <c r="G277" s="75">
        <v>3981.69</v>
      </c>
      <c r="H277" s="75">
        <v>4000</v>
      </c>
      <c r="I277" s="75">
        <v>4000</v>
      </c>
    </row>
    <row r="278" spans="1:9" x14ac:dyDescent="0.25">
      <c r="A278" s="209">
        <v>3</v>
      </c>
      <c r="B278" s="210"/>
      <c r="C278" s="211"/>
      <c r="D278" s="50" t="s">
        <v>26</v>
      </c>
      <c r="E278" s="52">
        <f>E279</f>
        <v>3389.7405269095493</v>
      </c>
      <c r="F278" s="52">
        <f t="shared" ref="F278:I278" si="87">F279</f>
        <v>5308.9123365850419</v>
      </c>
      <c r="G278" s="52">
        <f t="shared" si="87"/>
        <v>3981.69</v>
      </c>
      <c r="H278" s="52">
        <f t="shared" si="87"/>
        <v>4000</v>
      </c>
      <c r="I278" s="52">
        <f t="shared" si="87"/>
        <v>4000</v>
      </c>
    </row>
    <row r="279" spans="1:9" ht="25.5" x14ac:dyDescent="0.25">
      <c r="A279" s="212">
        <v>36</v>
      </c>
      <c r="B279" s="213"/>
      <c r="C279" s="214"/>
      <c r="D279" s="50" t="s">
        <v>66</v>
      </c>
      <c r="E279" s="52">
        <f>25540/7.5345</f>
        <v>3389.7405269095493</v>
      </c>
      <c r="F279" s="65">
        <f>40000/7.5345</f>
        <v>5308.9123365850419</v>
      </c>
      <c r="G279" s="65">
        <v>3981.69</v>
      </c>
      <c r="H279" s="65">
        <v>4000</v>
      </c>
      <c r="I279" s="65">
        <v>4000</v>
      </c>
    </row>
    <row r="280" spans="1:9" x14ac:dyDescent="0.25">
      <c r="A280" s="255" t="s">
        <v>128</v>
      </c>
      <c r="B280" s="256"/>
      <c r="C280" s="256"/>
      <c r="D280" s="257"/>
      <c r="E280" s="105">
        <f>E281</f>
        <v>2687.6368703961775</v>
      </c>
      <c r="F280" s="105">
        <f t="shared" ref="F280:I280" si="88">F281</f>
        <v>4645.298294511912</v>
      </c>
      <c r="G280" s="105">
        <f t="shared" si="88"/>
        <v>3318.07</v>
      </c>
      <c r="H280" s="105">
        <f t="shared" si="88"/>
        <v>4000</v>
      </c>
      <c r="I280" s="105">
        <f t="shared" si="88"/>
        <v>4000</v>
      </c>
    </row>
    <row r="281" spans="1:9" x14ac:dyDescent="0.25">
      <c r="A281" s="258" t="s">
        <v>218</v>
      </c>
      <c r="B281" s="259"/>
      <c r="C281" s="259"/>
      <c r="D281" s="260"/>
      <c r="E281" s="234">
        <f>E284</f>
        <v>2687.6368703961775</v>
      </c>
      <c r="F281" s="234">
        <f t="shared" ref="F281:I281" si="89">F284</f>
        <v>4645.298294511912</v>
      </c>
      <c r="G281" s="234">
        <f t="shared" si="89"/>
        <v>3318.07</v>
      </c>
      <c r="H281" s="234">
        <f t="shared" si="89"/>
        <v>4000</v>
      </c>
      <c r="I281" s="234">
        <f t="shared" si="89"/>
        <v>4000</v>
      </c>
    </row>
    <row r="282" spans="1:9" x14ac:dyDescent="0.25">
      <c r="A282" s="220" t="s">
        <v>129</v>
      </c>
      <c r="B282" s="221"/>
      <c r="C282" s="221"/>
      <c r="D282" s="221"/>
      <c r="E282" s="235"/>
      <c r="F282" s="235"/>
      <c r="G282" s="235"/>
      <c r="H282" s="235"/>
      <c r="I282" s="235"/>
    </row>
    <row r="283" spans="1:9" x14ac:dyDescent="0.25">
      <c r="A283" s="59" t="s">
        <v>113</v>
      </c>
      <c r="B283" s="59"/>
      <c r="C283" s="59"/>
      <c r="D283" s="59"/>
      <c r="E283" s="66">
        <f>E281</f>
        <v>2687.6368703961775</v>
      </c>
      <c r="F283" s="75">
        <f>35000/7.5345</f>
        <v>4645.298294511912</v>
      </c>
      <c r="G283" s="75">
        <v>3318.07</v>
      </c>
      <c r="H283" s="75">
        <v>4000</v>
      </c>
      <c r="I283" s="75">
        <v>4000</v>
      </c>
    </row>
    <row r="284" spans="1:9" x14ac:dyDescent="0.25">
      <c r="A284" s="209">
        <v>3</v>
      </c>
      <c r="B284" s="210"/>
      <c r="C284" s="211"/>
      <c r="D284" s="50" t="s">
        <v>26</v>
      </c>
      <c r="E284" s="52">
        <f>E285</f>
        <v>2687.6368703961775</v>
      </c>
      <c r="F284" s="52">
        <f t="shared" ref="F284:I284" si="90">F285</f>
        <v>4645.298294511912</v>
      </c>
      <c r="G284" s="52">
        <f t="shared" si="90"/>
        <v>3318.07</v>
      </c>
      <c r="H284" s="52">
        <f t="shared" si="90"/>
        <v>4000</v>
      </c>
      <c r="I284" s="52">
        <f t="shared" si="90"/>
        <v>4000</v>
      </c>
    </row>
    <row r="285" spans="1:9" ht="38.25" x14ac:dyDescent="0.25">
      <c r="A285" s="212">
        <v>37</v>
      </c>
      <c r="B285" s="213"/>
      <c r="C285" s="214"/>
      <c r="D285" s="50" t="s">
        <v>67</v>
      </c>
      <c r="E285" s="52">
        <f>20250/7.5345</f>
        <v>2687.6368703961775</v>
      </c>
      <c r="F285" s="65">
        <f>35000/7.5345</f>
        <v>4645.298294511912</v>
      </c>
      <c r="G285" s="65">
        <v>3318.07</v>
      </c>
      <c r="H285" s="65">
        <v>4000</v>
      </c>
      <c r="I285" s="65">
        <v>4000</v>
      </c>
    </row>
    <row r="286" spans="1:9" x14ac:dyDescent="0.25">
      <c r="A286" s="102" t="s">
        <v>130</v>
      </c>
      <c r="B286" s="102"/>
      <c r="C286" s="102"/>
      <c r="D286" s="102"/>
      <c r="E286" s="105">
        <f>E287</f>
        <v>5176.1895281704155</v>
      </c>
      <c r="F286" s="105">
        <f t="shared" ref="F286:I286" si="91">F287</f>
        <v>5308.9123365850419</v>
      </c>
      <c r="G286" s="105">
        <f t="shared" si="91"/>
        <v>11281.44</v>
      </c>
      <c r="H286" s="105">
        <f t="shared" si="91"/>
        <v>12000</v>
      </c>
      <c r="I286" s="105">
        <f t="shared" si="91"/>
        <v>12000</v>
      </c>
    </row>
    <row r="287" spans="1:9" x14ac:dyDescent="0.25">
      <c r="A287" s="77" t="s">
        <v>131</v>
      </c>
      <c r="B287" s="78"/>
      <c r="C287" s="78"/>
      <c r="D287" s="78"/>
      <c r="E287" s="89">
        <f>E289</f>
        <v>5176.1895281704155</v>
      </c>
      <c r="F287" s="89">
        <f t="shared" ref="F287:I287" si="92">F289</f>
        <v>5308.9123365850419</v>
      </c>
      <c r="G287" s="89">
        <f t="shared" si="92"/>
        <v>11281.44</v>
      </c>
      <c r="H287" s="89">
        <f t="shared" si="92"/>
        <v>12000</v>
      </c>
      <c r="I287" s="89">
        <f t="shared" si="92"/>
        <v>12000</v>
      </c>
    </row>
    <row r="288" spans="1:9" x14ac:dyDescent="0.25">
      <c r="A288" s="59" t="s">
        <v>113</v>
      </c>
      <c r="B288" s="59"/>
      <c r="C288" s="59"/>
      <c r="D288" s="55"/>
      <c r="E288" s="66">
        <f>E287</f>
        <v>5176.1895281704155</v>
      </c>
      <c r="F288" s="75">
        <f>40000/7.5345</f>
        <v>5308.9123365850419</v>
      </c>
      <c r="G288" s="75">
        <v>11281.44</v>
      </c>
      <c r="H288" s="75">
        <v>12000</v>
      </c>
      <c r="I288" s="75">
        <v>12000</v>
      </c>
    </row>
    <row r="289" spans="1:9" x14ac:dyDescent="0.25">
      <c r="A289" s="209">
        <v>3</v>
      </c>
      <c r="B289" s="210"/>
      <c r="C289" s="211"/>
      <c r="D289" s="50" t="s">
        <v>26</v>
      </c>
      <c r="E289" s="52">
        <f>E290</f>
        <v>5176.1895281704155</v>
      </c>
      <c r="F289" s="52">
        <f t="shared" ref="F289:I289" si="93">F290</f>
        <v>5308.9123365850419</v>
      </c>
      <c r="G289" s="52">
        <f t="shared" si="93"/>
        <v>11281.44</v>
      </c>
      <c r="H289" s="52">
        <f t="shared" si="93"/>
        <v>12000</v>
      </c>
      <c r="I289" s="52">
        <f t="shared" si="93"/>
        <v>12000</v>
      </c>
    </row>
    <row r="290" spans="1:9" ht="38.25" x14ac:dyDescent="0.25">
      <c r="A290" s="212">
        <v>37</v>
      </c>
      <c r="B290" s="213"/>
      <c r="C290" s="214"/>
      <c r="D290" s="50" t="s">
        <v>67</v>
      </c>
      <c r="E290" s="52">
        <f>39000/7.5345</f>
        <v>5176.1895281704155</v>
      </c>
      <c r="F290" s="65">
        <f>40000/7.5345</f>
        <v>5308.9123365850419</v>
      </c>
      <c r="G290" s="65">
        <v>11281.44</v>
      </c>
      <c r="H290" s="65">
        <v>12000</v>
      </c>
      <c r="I290" s="65">
        <v>12000</v>
      </c>
    </row>
    <row r="291" spans="1:9" x14ac:dyDescent="0.25">
      <c r="A291" s="125" t="s">
        <v>132</v>
      </c>
      <c r="B291" s="125"/>
      <c r="C291" s="125"/>
      <c r="D291" s="125"/>
      <c r="E291" s="236">
        <f>E293+E300</f>
        <v>30155.825867675358</v>
      </c>
      <c r="F291" s="236">
        <f t="shared" ref="F291:I291" si="94">F293+F300</f>
        <v>30791.691552193242</v>
      </c>
      <c r="G291" s="236">
        <f t="shared" si="94"/>
        <v>30791.690000000002</v>
      </c>
      <c r="H291" s="236">
        <f t="shared" si="94"/>
        <v>33900</v>
      </c>
      <c r="I291" s="236">
        <f t="shared" si="94"/>
        <v>34000</v>
      </c>
    </row>
    <row r="292" spans="1:9" x14ac:dyDescent="0.25">
      <c r="A292" s="249" t="s">
        <v>133</v>
      </c>
      <c r="B292" s="250"/>
      <c r="C292" s="250"/>
      <c r="D292" s="251"/>
      <c r="E292" s="237"/>
      <c r="F292" s="237"/>
      <c r="G292" s="237"/>
      <c r="H292" s="237"/>
      <c r="I292" s="237"/>
    </row>
    <row r="293" spans="1:9" x14ac:dyDescent="0.25">
      <c r="A293" s="102" t="s">
        <v>134</v>
      </c>
      <c r="B293" s="102"/>
      <c r="C293" s="102"/>
      <c r="D293" s="102"/>
      <c r="E293" s="105">
        <f>E294</f>
        <v>27810.136040878624</v>
      </c>
      <c r="F293" s="105">
        <f t="shared" ref="F293:I293" si="95">F294</f>
        <v>27871.78976707147</v>
      </c>
      <c r="G293" s="105">
        <f t="shared" si="95"/>
        <v>27871.79</v>
      </c>
      <c r="H293" s="105">
        <f t="shared" si="95"/>
        <v>31000</v>
      </c>
      <c r="I293" s="105">
        <f t="shared" si="95"/>
        <v>31000</v>
      </c>
    </row>
    <row r="294" spans="1:9" ht="30.75" customHeight="1" x14ac:dyDescent="0.25">
      <c r="A294" s="252" t="s">
        <v>187</v>
      </c>
      <c r="B294" s="253"/>
      <c r="C294" s="253"/>
      <c r="D294" s="254"/>
      <c r="E294" s="82">
        <f>E297</f>
        <v>27810.136040878624</v>
      </c>
      <c r="F294" s="82">
        <f>F297</f>
        <v>27871.78976707147</v>
      </c>
      <c r="G294" s="82">
        <f t="shared" ref="G294:I294" si="96">G297</f>
        <v>27871.79</v>
      </c>
      <c r="H294" s="82">
        <f t="shared" si="96"/>
        <v>31000</v>
      </c>
      <c r="I294" s="82">
        <f t="shared" si="96"/>
        <v>31000</v>
      </c>
    </row>
    <row r="295" spans="1:9" x14ac:dyDescent="0.25">
      <c r="A295" s="59" t="s">
        <v>113</v>
      </c>
      <c r="B295" s="59"/>
      <c r="C295" s="59"/>
      <c r="D295" s="59"/>
      <c r="E295" s="66">
        <f>110208.77/7.5345</f>
        <v>14627.217466321586</v>
      </c>
      <c r="F295" s="75">
        <f>110000/7.5345</f>
        <v>14599.508925608865</v>
      </c>
      <c r="G295" s="75">
        <f>G294-G296</f>
        <v>13272.28</v>
      </c>
      <c r="H295" s="75">
        <f>H294-H296</f>
        <v>13300</v>
      </c>
      <c r="I295" s="75">
        <f>I294-I296</f>
        <v>13300</v>
      </c>
    </row>
    <row r="296" spans="1:9" x14ac:dyDescent="0.25">
      <c r="A296" s="59" t="s">
        <v>101</v>
      </c>
      <c r="B296" s="59"/>
      <c r="C296" s="59"/>
      <c r="D296" s="59"/>
      <c r="E296" s="66">
        <f>99326.7/7.5345</f>
        <v>13182.918574557036</v>
      </c>
      <c r="F296" s="75">
        <f>100000/7.5345</f>
        <v>13272.280841462605</v>
      </c>
      <c r="G296" s="75">
        <v>14599.51</v>
      </c>
      <c r="H296" s="75">
        <v>17700</v>
      </c>
      <c r="I296" s="75">
        <v>17700</v>
      </c>
    </row>
    <row r="297" spans="1:9" x14ac:dyDescent="0.25">
      <c r="A297" s="209">
        <v>3</v>
      </c>
      <c r="B297" s="210"/>
      <c r="C297" s="211"/>
      <c r="D297" s="50" t="s">
        <v>26</v>
      </c>
      <c r="E297" s="65">
        <f>E298+E299</f>
        <v>27810.136040878624</v>
      </c>
      <c r="F297" s="65">
        <f>F298+F299</f>
        <v>27871.78976707147</v>
      </c>
      <c r="G297" s="65">
        <f t="shared" ref="G297:I297" si="97">G298+G299</f>
        <v>27871.79</v>
      </c>
      <c r="H297" s="65">
        <f t="shared" si="97"/>
        <v>31000</v>
      </c>
      <c r="I297" s="65">
        <f t="shared" si="97"/>
        <v>31000</v>
      </c>
    </row>
    <row r="298" spans="1:9" ht="25.5" x14ac:dyDescent="0.25">
      <c r="A298" s="212">
        <v>36</v>
      </c>
      <c r="B298" s="213"/>
      <c r="C298" s="214"/>
      <c r="D298" s="50" t="s">
        <v>66</v>
      </c>
      <c r="E298" s="65">
        <f>109535.47/7.5345</f>
        <v>14537.855199416019</v>
      </c>
      <c r="F298" s="65">
        <f>110000/7.5345</f>
        <v>14599.508925608865</v>
      </c>
      <c r="G298" s="65">
        <v>14599.51</v>
      </c>
      <c r="H298" s="65">
        <v>17700</v>
      </c>
      <c r="I298" s="65">
        <v>17700</v>
      </c>
    </row>
    <row r="299" spans="1:9" x14ac:dyDescent="0.25">
      <c r="A299" s="212">
        <v>38</v>
      </c>
      <c r="B299" s="213"/>
      <c r="C299" s="214"/>
      <c r="D299" s="50" t="s">
        <v>68</v>
      </c>
      <c r="E299" s="65">
        <f>100000/7.5345</f>
        <v>13272.280841462605</v>
      </c>
      <c r="F299" s="65">
        <f>100000/7.5345</f>
        <v>13272.280841462605</v>
      </c>
      <c r="G299" s="65">
        <v>13272.28</v>
      </c>
      <c r="H299" s="65">
        <v>13300</v>
      </c>
      <c r="I299" s="65">
        <v>13300</v>
      </c>
    </row>
    <row r="300" spans="1:9" x14ac:dyDescent="0.25">
      <c r="A300" s="248" t="s">
        <v>135</v>
      </c>
      <c r="B300" s="248"/>
      <c r="C300" s="248"/>
      <c r="D300" s="248"/>
      <c r="E300" s="111">
        <f>E301</f>
        <v>2345.6898267967349</v>
      </c>
      <c r="F300" s="111">
        <f t="shared" ref="F300:I300" si="98">F301</f>
        <v>2919.9017851217732</v>
      </c>
      <c r="G300" s="111">
        <f t="shared" si="98"/>
        <v>2919.9</v>
      </c>
      <c r="H300" s="111">
        <f t="shared" si="98"/>
        <v>2900</v>
      </c>
      <c r="I300" s="111">
        <f t="shared" si="98"/>
        <v>3000</v>
      </c>
    </row>
    <row r="301" spans="1:9" x14ac:dyDescent="0.25">
      <c r="A301" s="228" t="s">
        <v>188</v>
      </c>
      <c r="B301" s="229"/>
      <c r="C301" s="229"/>
      <c r="D301" s="230"/>
      <c r="E301" s="82">
        <f>E303</f>
        <v>2345.6898267967349</v>
      </c>
      <c r="F301" s="82">
        <f t="shared" ref="F301:I301" si="99">F303</f>
        <v>2919.9017851217732</v>
      </c>
      <c r="G301" s="82">
        <f t="shared" si="99"/>
        <v>2919.9</v>
      </c>
      <c r="H301" s="82">
        <f t="shared" si="99"/>
        <v>2900</v>
      </c>
      <c r="I301" s="82">
        <f t="shared" si="99"/>
        <v>3000</v>
      </c>
    </row>
    <row r="302" spans="1:9" x14ac:dyDescent="0.25">
      <c r="A302" s="59" t="s">
        <v>113</v>
      </c>
      <c r="B302" s="59"/>
      <c r="C302" s="59"/>
      <c r="D302" s="59"/>
      <c r="E302" s="66">
        <f>E303</f>
        <v>2345.6898267967349</v>
      </c>
      <c r="F302" s="75">
        <f>22000/7.5345</f>
        <v>2919.9017851217732</v>
      </c>
      <c r="G302" s="75">
        <v>2919.9</v>
      </c>
      <c r="H302" s="75">
        <v>2900</v>
      </c>
      <c r="I302" s="75">
        <v>3000</v>
      </c>
    </row>
    <row r="303" spans="1:9" x14ac:dyDescent="0.25">
      <c r="A303" s="209">
        <v>3</v>
      </c>
      <c r="B303" s="210"/>
      <c r="C303" s="211"/>
      <c r="D303" s="50" t="s">
        <v>26</v>
      </c>
      <c r="E303" s="65">
        <f>E304</f>
        <v>2345.6898267967349</v>
      </c>
      <c r="F303" s="65">
        <f t="shared" ref="F303:I303" si="100">F304</f>
        <v>2919.9017851217732</v>
      </c>
      <c r="G303" s="65">
        <f t="shared" si="100"/>
        <v>2919.9</v>
      </c>
      <c r="H303" s="65">
        <f t="shared" si="100"/>
        <v>2900</v>
      </c>
      <c r="I303" s="65">
        <f t="shared" si="100"/>
        <v>3000</v>
      </c>
    </row>
    <row r="304" spans="1:9" x14ac:dyDescent="0.25">
      <c r="A304" s="212">
        <v>38</v>
      </c>
      <c r="B304" s="213"/>
      <c r="C304" s="214"/>
      <c r="D304" s="50" t="s">
        <v>68</v>
      </c>
      <c r="E304" s="65">
        <f>17673.6/7.5345</f>
        <v>2345.6898267967349</v>
      </c>
      <c r="F304" s="65">
        <f>22000/7.5345</f>
        <v>2919.9017851217732</v>
      </c>
      <c r="G304" s="65">
        <v>2919.9</v>
      </c>
      <c r="H304" s="65">
        <v>2900</v>
      </c>
      <c r="I304" s="65">
        <v>3000</v>
      </c>
    </row>
    <row r="305" spans="1:9" x14ac:dyDescent="0.25">
      <c r="A305" s="123" t="s">
        <v>136</v>
      </c>
      <c r="B305" s="123"/>
      <c r="C305" s="123"/>
      <c r="D305" s="123"/>
      <c r="E305" s="124">
        <f>E306+E318+E312</f>
        <v>27737.407923551662</v>
      </c>
      <c r="F305" s="124">
        <f t="shared" ref="F305:I305" si="101">F306+F318+F312</f>
        <v>43134.912734753467</v>
      </c>
      <c r="G305" s="124">
        <f t="shared" si="101"/>
        <v>70343.090000000011</v>
      </c>
      <c r="H305" s="124">
        <f t="shared" si="101"/>
        <v>44070</v>
      </c>
      <c r="I305" s="124">
        <f t="shared" si="101"/>
        <v>44020</v>
      </c>
    </row>
    <row r="306" spans="1:9" x14ac:dyDescent="0.25">
      <c r="A306" s="102" t="s">
        <v>137</v>
      </c>
      <c r="B306" s="102"/>
      <c r="C306" s="102"/>
      <c r="D306" s="102"/>
      <c r="E306" s="105">
        <f>E307</f>
        <v>24288.273939876566</v>
      </c>
      <c r="F306" s="105">
        <f t="shared" ref="F306:I306" si="102">F307</f>
        <v>29199.01785121773</v>
      </c>
      <c r="G306" s="105">
        <f t="shared" si="102"/>
        <v>37162.39</v>
      </c>
      <c r="H306" s="105">
        <f t="shared" si="102"/>
        <v>38000</v>
      </c>
      <c r="I306" s="105">
        <f t="shared" si="102"/>
        <v>38000</v>
      </c>
    </row>
    <row r="307" spans="1:9" x14ac:dyDescent="0.25">
      <c r="A307" s="246" t="s">
        <v>189</v>
      </c>
      <c r="B307" s="247"/>
      <c r="C307" s="247"/>
      <c r="D307" s="247"/>
      <c r="E307" s="226">
        <f>E310</f>
        <v>24288.273939876566</v>
      </c>
      <c r="F307" s="226">
        <f t="shared" ref="F307:I307" si="103">F310</f>
        <v>29199.01785121773</v>
      </c>
      <c r="G307" s="226">
        <f t="shared" si="103"/>
        <v>37162.39</v>
      </c>
      <c r="H307" s="226">
        <f t="shared" si="103"/>
        <v>38000</v>
      </c>
      <c r="I307" s="226">
        <f t="shared" si="103"/>
        <v>38000</v>
      </c>
    </row>
    <row r="308" spans="1:9" x14ac:dyDescent="0.25">
      <c r="A308" s="87" t="s">
        <v>138</v>
      </c>
      <c r="B308" s="88"/>
      <c r="C308" s="88"/>
      <c r="D308" s="88"/>
      <c r="E308" s="227"/>
      <c r="F308" s="227"/>
      <c r="G308" s="227"/>
      <c r="H308" s="227"/>
      <c r="I308" s="227"/>
    </row>
    <row r="309" spans="1:9" x14ac:dyDescent="0.25">
      <c r="A309" s="59" t="s">
        <v>113</v>
      </c>
      <c r="B309" s="59"/>
      <c r="C309" s="59"/>
      <c r="D309" s="59"/>
      <c r="E309" s="68">
        <f>E310</f>
        <v>24288.273939876566</v>
      </c>
      <c r="F309" s="75">
        <f>220000/7.5345</f>
        <v>29199.01785121773</v>
      </c>
      <c r="G309" s="75">
        <v>37162.39</v>
      </c>
      <c r="H309" s="75">
        <v>38000</v>
      </c>
      <c r="I309" s="75">
        <v>38000</v>
      </c>
    </row>
    <row r="310" spans="1:9" x14ac:dyDescent="0.25">
      <c r="A310" s="209">
        <v>3</v>
      </c>
      <c r="B310" s="210"/>
      <c r="C310" s="211"/>
      <c r="D310" s="50" t="s">
        <v>26</v>
      </c>
      <c r="E310" s="52">
        <f>E311</f>
        <v>24288.273939876566</v>
      </c>
      <c r="F310" s="52">
        <f t="shared" ref="F310:I310" si="104">F311</f>
        <v>29199.01785121773</v>
      </c>
      <c r="G310" s="52">
        <f t="shared" si="104"/>
        <v>37162.39</v>
      </c>
      <c r="H310" s="52">
        <f t="shared" si="104"/>
        <v>38000</v>
      </c>
      <c r="I310" s="52">
        <f t="shared" si="104"/>
        <v>38000</v>
      </c>
    </row>
    <row r="311" spans="1:9" x14ac:dyDescent="0.25">
      <c r="A311" s="212">
        <v>38</v>
      </c>
      <c r="B311" s="213"/>
      <c r="C311" s="214"/>
      <c r="D311" s="50" t="s">
        <v>68</v>
      </c>
      <c r="E311" s="52">
        <f>183000/7.5345</f>
        <v>24288.273939876566</v>
      </c>
      <c r="F311" s="65">
        <f>220000/7.5345</f>
        <v>29199.01785121773</v>
      </c>
      <c r="G311" s="65">
        <v>37162.39</v>
      </c>
      <c r="H311" s="65">
        <v>38000</v>
      </c>
      <c r="I311" s="65">
        <v>38000</v>
      </c>
    </row>
    <row r="312" spans="1:9" x14ac:dyDescent="0.25">
      <c r="A312" s="102" t="s">
        <v>139</v>
      </c>
      <c r="B312" s="102"/>
      <c r="C312" s="102"/>
      <c r="D312" s="102"/>
      <c r="E312" s="105">
        <f>E313</f>
        <v>1592.6737009755125</v>
      </c>
      <c r="F312" s="105">
        <f t="shared" ref="F312:I312" si="105">F313</f>
        <v>3318.0702103656513</v>
      </c>
      <c r="G312" s="105">
        <f t="shared" si="105"/>
        <v>3318.07</v>
      </c>
      <c r="H312" s="105">
        <f t="shared" si="105"/>
        <v>3400</v>
      </c>
      <c r="I312" s="105">
        <f t="shared" si="105"/>
        <v>3350</v>
      </c>
    </row>
    <row r="313" spans="1:9" x14ac:dyDescent="0.25">
      <c r="A313" s="246" t="s">
        <v>190</v>
      </c>
      <c r="B313" s="247"/>
      <c r="C313" s="247"/>
      <c r="D313" s="247"/>
      <c r="E313" s="226">
        <f>E316</f>
        <v>1592.6737009755125</v>
      </c>
      <c r="F313" s="226">
        <f t="shared" ref="F313:I313" si="106">F316</f>
        <v>3318.0702103656513</v>
      </c>
      <c r="G313" s="226">
        <f t="shared" si="106"/>
        <v>3318.07</v>
      </c>
      <c r="H313" s="226">
        <f t="shared" si="106"/>
        <v>3400</v>
      </c>
      <c r="I313" s="226">
        <f t="shared" si="106"/>
        <v>3350</v>
      </c>
    </row>
    <row r="314" spans="1:9" x14ac:dyDescent="0.25">
      <c r="A314" s="220" t="s">
        <v>140</v>
      </c>
      <c r="B314" s="221"/>
      <c r="C314" s="221"/>
      <c r="D314" s="221"/>
      <c r="E314" s="227"/>
      <c r="F314" s="227"/>
      <c r="G314" s="227"/>
      <c r="H314" s="227"/>
      <c r="I314" s="227"/>
    </row>
    <row r="315" spans="1:9" x14ac:dyDescent="0.25">
      <c r="A315" s="59" t="s">
        <v>113</v>
      </c>
      <c r="B315" s="59"/>
      <c r="C315" s="59"/>
      <c r="D315" s="59"/>
      <c r="E315" s="66">
        <f>E316</f>
        <v>1592.6737009755125</v>
      </c>
      <c r="F315" s="75">
        <f>25000/7.5345</f>
        <v>3318.0702103656513</v>
      </c>
      <c r="G315" s="75">
        <v>3318.07</v>
      </c>
      <c r="H315" s="75">
        <v>3400</v>
      </c>
      <c r="I315" s="75">
        <v>3350</v>
      </c>
    </row>
    <row r="316" spans="1:9" x14ac:dyDescent="0.25">
      <c r="A316" s="209">
        <v>3</v>
      </c>
      <c r="B316" s="210"/>
      <c r="C316" s="211"/>
      <c r="D316" s="50" t="s">
        <v>26</v>
      </c>
      <c r="E316" s="52">
        <f>E317</f>
        <v>1592.6737009755125</v>
      </c>
      <c r="F316" s="52">
        <f t="shared" ref="F316:I316" si="107">F317</f>
        <v>3318.0702103656513</v>
      </c>
      <c r="G316" s="52">
        <f t="shared" si="107"/>
        <v>3318.07</v>
      </c>
      <c r="H316" s="52">
        <f t="shared" si="107"/>
        <v>3400</v>
      </c>
      <c r="I316" s="52">
        <f t="shared" si="107"/>
        <v>3350</v>
      </c>
    </row>
    <row r="317" spans="1:9" x14ac:dyDescent="0.25">
      <c r="A317" s="212">
        <v>38</v>
      </c>
      <c r="B317" s="213"/>
      <c r="C317" s="214"/>
      <c r="D317" s="50" t="s">
        <v>68</v>
      </c>
      <c r="E317" s="52">
        <f>12000/7.5345</f>
        <v>1592.6737009755125</v>
      </c>
      <c r="F317" s="65">
        <f>25000/7.5345</f>
        <v>3318.0702103656513</v>
      </c>
      <c r="G317" s="65">
        <v>3318.07</v>
      </c>
      <c r="H317" s="65">
        <v>3400</v>
      </c>
      <c r="I317" s="65">
        <v>3350</v>
      </c>
    </row>
    <row r="318" spans="1:9" x14ac:dyDescent="0.25">
      <c r="A318" s="231" t="s">
        <v>141</v>
      </c>
      <c r="B318" s="232"/>
      <c r="C318" s="232"/>
      <c r="D318" s="233"/>
      <c r="E318" s="104">
        <f>E319+E325</f>
        <v>1856.460282699582</v>
      </c>
      <c r="F318" s="104">
        <f t="shared" ref="F318:I318" si="108">F319+F325</f>
        <v>10617.824673170084</v>
      </c>
      <c r="G318" s="104">
        <f t="shared" si="108"/>
        <v>29862.63</v>
      </c>
      <c r="H318" s="104">
        <f t="shared" si="108"/>
        <v>2670</v>
      </c>
      <c r="I318" s="104">
        <f t="shared" si="108"/>
        <v>2670</v>
      </c>
    </row>
    <row r="319" spans="1:9" x14ac:dyDescent="0.25">
      <c r="A319" s="228" t="s">
        <v>142</v>
      </c>
      <c r="B319" s="229"/>
      <c r="C319" s="229"/>
      <c r="D319" s="230"/>
      <c r="E319" s="82">
        <f>E321</f>
        <v>1325.5690490410777</v>
      </c>
      <c r="F319" s="82">
        <f>F321+F323</f>
        <v>10617.824673170084</v>
      </c>
      <c r="G319" s="82">
        <f t="shared" ref="G319:I319" si="109">G321</f>
        <v>29199.02</v>
      </c>
      <c r="H319" s="82">
        <f t="shared" si="109"/>
        <v>2000</v>
      </c>
      <c r="I319" s="82">
        <f t="shared" si="109"/>
        <v>2000</v>
      </c>
    </row>
    <row r="320" spans="1:9" x14ac:dyDescent="0.25">
      <c r="A320" s="59" t="s">
        <v>113</v>
      </c>
      <c r="B320" s="59"/>
      <c r="C320" s="59"/>
      <c r="D320" s="59"/>
      <c r="E320" s="66">
        <f>E319</f>
        <v>1325.5690490410777</v>
      </c>
      <c r="F320" s="75">
        <f>80000/7.5345</f>
        <v>10617.824673170084</v>
      </c>
      <c r="G320" s="75">
        <v>29199.02</v>
      </c>
      <c r="H320" s="75">
        <v>2000</v>
      </c>
      <c r="I320" s="75">
        <v>2000</v>
      </c>
    </row>
    <row r="321" spans="1:9" x14ac:dyDescent="0.25">
      <c r="A321" s="209">
        <v>3</v>
      </c>
      <c r="B321" s="210"/>
      <c r="C321" s="211"/>
      <c r="D321" s="50" t="s">
        <v>26</v>
      </c>
      <c r="E321" s="52">
        <f>E322</f>
        <v>1325.5690490410777</v>
      </c>
      <c r="F321" s="52">
        <f t="shared" ref="F321:I321" si="110">F322</f>
        <v>2654.4561682925209</v>
      </c>
      <c r="G321" s="52">
        <f t="shared" si="110"/>
        <v>29199.02</v>
      </c>
      <c r="H321" s="52">
        <f t="shared" si="110"/>
        <v>2000</v>
      </c>
      <c r="I321" s="52">
        <f t="shared" si="110"/>
        <v>2000</v>
      </c>
    </row>
    <row r="322" spans="1:9" x14ac:dyDescent="0.25">
      <c r="A322" s="212">
        <v>38</v>
      </c>
      <c r="B322" s="213"/>
      <c r="C322" s="214"/>
      <c r="D322" s="50" t="s">
        <v>68</v>
      </c>
      <c r="E322" s="52">
        <f>9987.5/7.5345</f>
        <v>1325.5690490410777</v>
      </c>
      <c r="F322" s="65">
        <f>20000/7.5345</f>
        <v>2654.4561682925209</v>
      </c>
      <c r="G322" s="65">
        <v>29199.02</v>
      </c>
      <c r="H322" s="65">
        <v>2000</v>
      </c>
      <c r="I322" s="65">
        <v>2000</v>
      </c>
    </row>
    <row r="323" spans="1:9" ht="25.5" x14ac:dyDescent="0.25">
      <c r="A323" s="209">
        <v>4</v>
      </c>
      <c r="B323" s="210"/>
      <c r="C323" s="211"/>
      <c r="D323" s="50" t="s">
        <v>5</v>
      </c>
      <c r="E323" s="52"/>
      <c r="F323" s="65">
        <f>F324</f>
        <v>7963.3685048775624</v>
      </c>
      <c r="G323" s="65"/>
      <c r="H323" s="65"/>
      <c r="I323" s="65"/>
    </row>
    <row r="324" spans="1:9" ht="25.5" x14ac:dyDescent="0.25">
      <c r="A324" s="212">
        <v>42</v>
      </c>
      <c r="B324" s="213"/>
      <c r="C324" s="214"/>
      <c r="D324" s="50" t="s">
        <v>158</v>
      </c>
      <c r="E324" s="52"/>
      <c r="F324" s="65">
        <f>60000/7.5345</f>
        <v>7963.3685048775624</v>
      </c>
      <c r="G324" s="65"/>
      <c r="H324" s="65"/>
      <c r="I324" s="65"/>
    </row>
    <row r="325" spans="1:9" x14ac:dyDescent="0.25">
      <c r="A325" s="228" t="s">
        <v>143</v>
      </c>
      <c r="B325" s="229"/>
      <c r="C325" s="229"/>
      <c r="D325" s="230"/>
      <c r="E325" s="82">
        <f>E327</f>
        <v>530.89123365850423</v>
      </c>
      <c r="F325" s="81"/>
      <c r="G325" s="156">
        <f>G327</f>
        <v>663.61</v>
      </c>
      <c r="H325" s="156">
        <f t="shared" ref="H325:I325" si="111">H327</f>
        <v>670</v>
      </c>
      <c r="I325" s="156">
        <f t="shared" si="111"/>
        <v>670</v>
      </c>
    </row>
    <row r="326" spans="1:9" x14ac:dyDescent="0.25">
      <c r="A326" s="59" t="s">
        <v>113</v>
      </c>
      <c r="B326" s="59"/>
      <c r="C326" s="59"/>
      <c r="D326" s="59"/>
      <c r="E326" s="66">
        <f>E325</f>
        <v>530.89123365850423</v>
      </c>
      <c r="F326" s="75"/>
      <c r="G326" s="75">
        <v>663.61</v>
      </c>
      <c r="H326" s="75">
        <v>670</v>
      </c>
      <c r="I326" s="75">
        <v>670</v>
      </c>
    </row>
    <row r="327" spans="1:9" x14ac:dyDescent="0.25">
      <c r="A327" s="209">
        <v>3</v>
      </c>
      <c r="B327" s="210"/>
      <c r="C327" s="211"/>
      <c r="D327" s="50" t="s">
        <v>26</v>
      </c>
      <c r="E327" s="52">
        <f>E328</f>
        <v>530.89123365850423</v>
      </c>
      <c r="F327" s="65"/>
      <c r="G327" s="65">
        <f>G328</f>
        <v>663.61</v>
      </c>
      <c r="H327" s="65">
        <f t="shared" ref="H327:I327" si="112">H328</f>
        <v>670</v>
      </c>
      <c r="I327" s="65">
        <f t="shared" si="112"/>
        <v>670</v>
      </c>
    </row>
    <row r="328" spans="1:9" x14ac:dyDescent="0.25">
      <c r="A328" s="212">
        <v>38</v>
      </c>
      <c r="B328" s="213"/>
      <c r="C328" s="214"/>
      <c r="D328" s="50" t="s">
        <v>68</v>
      </c>
      <c r="E328" s="52">
        <f>4000/7.5345</f>
        <v>530.89123365850423</v>
      </c>
      <c r="F328" s="65"/>
      <c r="G328" s="65">
        <v>663.61</v>
      </c>
      <c r="H328" s="65">
        <v>670</v>
      </c>
      <c r="I328" s="65">
        <v>670</v>
      </c>
    </row>
    <row r="329" spans="1:9" x14ac:dyDescent="0.25">
      <c r="A329" s="123" t="s">
        <v>145</v>
      </c>
      <c r="B329" s="123"/>
      <c r="C329" s="123"/>
      <c r="D329" s="123"/>
      <c r="E329" s="124">
        <f>E330+E362</f>
        <v>60879.754462804434</v>
      </c>
      <c r="F329" s="124">
        <f>F330+F362</f>
        <v>107649.54542438118</v>
      </c>
      <c r="G329" s="124">
        <f>G330+G362</f>
        <v>107346.19</v>
      </c>
      <c r="H329" s="124">
        <f>H330+H362</f>
        <v>66600</v>
      </c>
      <c r="I329" s="124">
        <f>I330+I362</f>
        <v>66700</v>
      </c>
    </row>
    <row r="330" spans="1:9" x14ac:dyDescent="0.25">
      <c r="A330" s="109" t="s">
        <v>144</v>
      </c>
      <c r="B330" s="109"/>
      <c r="C330" s="109"/>
      <c r="D330" s="109"/>
      <c r="E330" s="110">
        <f>E331+E337+E341+E347</f>
        <v>56505.52790497047</v>
      </c>
      <c r="F330" s="110">
        <f>F331+F337+F341+F347+F352+F357</f>
        <v>93315.482115601568</v>
      </c>
      <c r="G330" s="110">
        <f>G331+G337+G341+G347+G352+G357</f>
        <v>81067.08</v>
      </c>
      <c r="H330" s="110">
        <f>H331+H337+H341+H347</f>
        <v>51600</v>
      </c>
      <c r="I330" s="110">
        <f>I331+I337+I341+I347</f>
        <v>51700</v>
      </c>
    </row>
    <row r="331" spans="1:9" x14ac:dyDescent="0.25">
      <c r="A331" s="77" t="s">
        <v>146</v>
      </c>
      <c r="B331" s="78"/>
      <c r="C331" s="78"/>
      <c r="D331" s="78"/>
      <c r="E331" s="79">
        <f>E334</f>
        <v>35034.316809343683</v>
      </c>
      <c r="F331" s="79">
        <f t="shared" ref="F331:I331" si="113">F334</f>
        <v>52677.68265976508</v>
      </c>
      <c r="G331" s="79">
        <f t="shared" si="113"/>
        <v>49505.61</v>
      </c>
      <c r="H331" s="79">
        <f t="shared" si="113"/>
        <v>50000</v>
      </c>
      <c r="I331" s="79">
        <f t="shared" si="113"/>
        <v>50000</v>
      </c>
    </row>
    <row r="332" spans="1:9" x14ac:dyDescent="0.25">
      <c r="A332" s="59" t="s">
        <v>147</v>
      </c>
      <c r="B332" s="59"/>
      <c r="C332" s="59"/>
      <c r="D332" s="59"/>
      <c r="E332" s="66">
        <f>253466.06/7.5345</f>
        <v>33640.72732099011</v>
      </c>
      <c r="F332" s="75">
        <f>396900/7.5345</f>
        <v>52677.68265976508</v>
      </c>
      <c r="G332" s="75">
        <v>49505.61</v>
      </c>
      <c r="H332" s="75">
        <v>50000</v>
      </c>
      <c r="I332" s="75">
        <v>50000</v>
      </c>
    </row>
    <row r="333" spans="1:9" x14ac:dyDescent="0.25">
      <c r="A333" s="59" t="s">
        <v>148</v>
      </c>
      <c r="B333" s="59"/>
      <c r="C333" s="59"/>
      <c r="D333" s="59"/>
      <c r="E333" s="68">
        <f>10500/7.5345</f>
        <v>1393.5894883535734</v>
      </c>
      <c r="F333" s="75"/>
      <c r="G333" s="75"/>
      <c r="H333" s="75"/>
      <c r="I333" s="75"/>
    </row>
    <row r="334" spans="1:9" x14ac:dyDescent="0.25">
      <c r="A334" s="209">
        <v>3</v>
      </c>
      <c r="B334" s="210"/>
      <c r="C334" s="211"/>
      <c r="D334" s="50" t="s">
        <v>26</v>
      </c>
      <c r="E334" s="65">
        <f>E336</f>
        <v>35034.316809343683</v>
      </c>
      <c r="F334" s="65">
        <f>F336+F335</f>
        <v>52677.68265976508</v>
      </c>
      <c r="G334" s="65">
        <f>G336+G335</f>
        <v>49505.61</v>
      </c>
      <c r="H334" s="65">
        <f t="shared" ref="H334:I334" si="114">H336+H335</f>
        <v>50000</v>
      </c>
      <c r="I334" s="65">
        <f t="shared" si="114"/>
        <v>50000</v>
      </c>
    </row>
    <row r="335" spans="1:9" ht="25.5" x14ac:dyDescent="0.25">
      <c r="A335" s="212">
        <v>36</v>
      </c>
      <c r="B335" s="213"/>
      <c r="C335" s="214"/>
      <c r="D335" s="50" t="s">
        <v>66</v>
      </c>
      <c r="E335" s="65"/>
      <c r="F335" s="65">
        <f>20000/7.5345</f>
        <v>2654.4561682925209</v>
      </c>
      <c r="G335" s="65">
        <v>2654.46</v>
      </c>
      <c r="H335" s="65">
        <v>3849</v>
      </c>
      <c r="I335" s="65"/>
    </row>
    <row r="336" spans="1:9" ht="38.25" x14ac:dyDescent="0.25">
      <c r="A336" s="212">
        <v>37</v>
      </c>
      <c r="B336" s="213"/>
      <c r="C336" s="214"/>
      <c r="D336" s="50" t="s">
        <v>67</v>
      </c>
      <c r="E336" s="65">
        <f>263966.06/7.5345</f>
        <v>35034.316809343683</v>
      </c>
      <c r="F336" s="65">
        <f>376900/7.5345</f>
        <v>50023.22649147256</v>
      </c>
      <c r="G336" s="65">
        <v>46851.15</v>
      </c>
      <c r="H336" s="65">
        <v>46151</v>
      </c>
      <c r="I336" s="65">
        <v>50000</v>
      </c>
    </row>
    <row r="337" spans="1:9" x14ac:dyDescent="0.25">
      <c r="A337" s="77" t="s">
        <v>149</v>
      </c>
      <c r="B337" s="78"/>
      <c r="C337" s="78"/>
      <c r="D337" s="85"/>
      <c r="E337" s="79">
        <f>E339</f>
        <v>1326.8431880018582</v>
      </c>
      <c r="F337" s="79">
        <f t="shared" ref="F337:I337" si="115">F339</f>
        <v>1327.2280841462605</v>
      </c>
      <c r="G337" s="79">
        <f t="shared" si="115"/>
        <v>1592.67</v>
      </c>
      <c r="H337" s="79">
        <f t="shared" si="115"/>
        <v>1600</v>
      </c>
      <c r="I337" s="79">
        <f t="shared" si="115"/>
        <v>1700</v>
      </c>
    </row>
    <row r="338" spans="1:9" x14ac:dyDescent="0.25">
      <c r="A338" s="59" t="s">
        <v>88</v>
      </c>
      <c r="B338" s="59"/>
      <c r="C338" s="59"/>
      <c r="D338" s="55"/>
      <c r="E338" s="66">
        <f>E339</f>
        <v>1326.8431880018582</v>
      </c>
      <c r="F338" s="75">
        <f>10000/7.5345</f>
        <v>1327.2280841462605</v>
      </c>
      <c r="G338" s="75">
        <v>1592.67</v>
      </c>
      <c r="H338" s="75">
        <v>1600</v>
      </c>
      <c r="I338" s="75">
        <v>1700</v>
      </c>
    </row>
    <row r="339" spans="1:9" x14ac:dyDescent="0.25">
      <c r="A339" s="209">
        <v>3</v>
      </c>
      <c r="B339" s="210"/>
      <c r="C339" s="211"/>
      <c r="D339" s="50" t="s">
        <v>26</v>
      </c>
      <c r="E339" s="65">
        <f>E340</f>
        <v>1326.8431880018582</v>
      </c>
      <c r="F339" s="65">
        <f t="shared" ref="F339:I339" si="116">F340</f>
        <v>1327.2280841462605</v>
      </c>
      <c r="G339" s="65">
        <f t="shared" si="116"/>
        <v>1592.67</v>
      </c>
      <c r="H339" s="65">
        <f t="shared" si="116"/>
        <v>1600</v>
      </c>
      <c r="I339" s="65">
        <f t="shared" si="116"/>
        <v>1700</v>
      </c>
    </row>
    <row r="340" spans="1:9" ht="38.25" x14ac:dyDescent="0.25">
      <c r="A340" s="212">
        <v>37</v>
      </c>
      <c r="B340" s="213"/>
      <c r="C340" s="214"/>
      <c r="D340" s="50" t="s">
        <v>67</v>
      </c>
      <c r="E340" s="65">
        <f>9997.1/7.5345</f>
        <v>1326.8431880018582</v>
      </c>
      <c r="F340" s="65">
        <f>10000/7.5345</f>
        <v>1327.2280841462605</v>
      </c>
      <c r="G340" s="65">
        <v>1592.67</v>
      </c>
      <c r="H340" s="65">
        <v>1600</v>
      </c>
      <c r="I340" s="65">
        <v>1700</v>
      </c>
    </row>
    <row r="341" spans="1:9" ht="29.25" customHeight="1" x14ac:dyDescent="0.25">
      <c r="A341" s="223" t="s">
        <v>150</v>
      </c>
      <c r="B341" s="224"/>
      <c r="C341" s="224"/>
      <c r="D341" s="225"/>
      <c r="E341" s="84">
        <f>E344</f>
        <v>13831.905235914792</v>
      </c>
      <c r="F341" s="84">
        <f t="shared" ref="F341:I341" si="117">F344</f>
        <v>4220.5853075851082</v>
      </c>
      <c r="G341" s="84">
        <f t="shared" si="117"/>
        <v>0</v>
      </c>
      <c r="H341" s="84">
        <f t="shared" si="117"/>
        <v>0</v>
      </c>
      <c r="I341" s="84">
        <f t="shared" si="117"/>
        <v>0</v>
      </c>
    </row>
    <row r="342" spans="1:9" x14ac:dyDescent="0.25">
      <c r="A342" s="218" t="s">
        <v>90</v>
      </c>
      <c r="B342" s="219"/>
      <c r="C342" s="219"/>
      <c r="D342" s="219"/>
      <c r="E342" s="66">
        <f>79220/7.5345</f>
        <v>10514.300882606676</v>
      </c>
      <c r="F342" s="75">
        <f>31800/7.5345</f>
        <v>4220.5853075851082</v>
      </c>
      <c r="G342" s="75"/>
      <c r="H342" s="75"/>
      <c r="I342" s="75"/>
    </row>
    <row r="343" spans="1:9" x14ac:dyDescent="0.25">
      <c r="A343" s="59" t="s">
        <v>88</v>
      </c>
      <c r="B343" s="59"/>
      <c r="C343" s="59"/>
      <c r="D343" s="59"/>
      <c r="E343" s="68">
        <f>24996.49/7.5345</f>
        <v>3317.6043533081161</v>
      </c>
      <c r="F343" s="75"/>
      <c r="G343" s="75"/>
      <c r="H343" s="75"/>
      <c r="I343" s="75"/>
    </row>
    <row r="344" spans="1:9" x14ac:dyDescent="0.25">
      <c r="A344" s="209">
        <v>3</v>
      </c>
      <c r="B344" s="210"/>
      <c r="C344" s="211"/>
      <c r="D344" s="50" t="s">
        <v>26</v>
      </c>
      <c r="E344" s="65">
        <f>E345+E346</f>
        <v>13831.905235914792</v>
      </c>
      <c r="F344" s="65">
        <f t="shared" ref="F344:I344" si="118">F345+F346</f>
        <v>4220.5853075851082</v>
      </c>
      <c r="G344" s="65">
        <f t="shared" si="118"/>
        <v>0</v>
      </c>
      <c r="H344" s="65">
        <f t="shared" si="118"/>
        <v>0</v>
      </c>
      <c r="I344" s="65">
        <f t="shared" si="118"/>
        <v>0</v>
      </c>
    </row>
    <row r="345" spans="1:9" x14ac:dyDescent="0.25">
      <c r="A345" s="212">
        <v>31</v>
      </c>
      <c r="B345" s="213"/>
      <c r="C345" s="214"/>
      <c r="D345" s="50" t="s">
        <v>29</v>
      </c>
      <c r="E345" s="65">
        <f>103736.49/7.5345</f>
        <v>13768.198287875772</v>
      </c>
      <c r="F345" s="65">
        <f>31800/7.5345</f>
        <v>4220.5853075851082</v>
      </c>
      <c r="G345" s="65"/>
      <c r="H345" s="65"/>
      <c r="I345" s="65"/>
    </row>
    <row r="346" spans="1:9" x14ac:dyDescent="0.25">
      <c r="A346" s="212">
        <v>32</v>
      </c>
      <c r="B346" s="213"/>
      <c r="C346" s="214"/>
      <c r="D346" s="50" t="s">
        <v>44</v>
      </c>
      <c r="E346" s="65">
        <f>480/7.5345</f>
        <v>63.706948039020503</v>
      </c>
      <c r="F346" s="65"/>
      <c r="G346" s="65"/>
      <c r="H346" s="65"/>
      <c r="I346" s="65"/>
    </row>
    <row r="347" spans="1:9" x14ac:dyDescent="0.25">
      <c r="A347" s="83" t="s">
        <v>151</v>
      </c>
      <c r="B347" s="83"/>
      <c r="C347" s="83"/>
      <c r="D347" s="83"/>
      <c r="E347" s="84">
        <f>E349</f>
        <v>6312.4626717101328</v>
      </c>
      <c r="F347" s="84">
        <f t="shared" ref="F347:I347" si="119">F349</f>
        <v>19828.787577145133</v>
      </c>
      <c r="G347" s="84">
        <f t="shared" si="119"/>
        <v>0</v>
      </c>
      <c r="H347" s="84">
        <f t="shared" si="119"/>
        <v>0</v>
      </c>
      <c r="I347" s="84">
        <f t="shared" si="119"/>
        <v>0</v>
      </c>
    </row>
    <row r="348" spans="1:9" x14ac:dyDescent="0.25">
      <c r="A348" s="59" t="s">
        <v>152</v>
      </c>
      <c r="B348" s="60"/>
      <c r="C348" s="60"/>
      <c r="D348" s="60"/>
      <c r="E348" s="76">
        <f>47561.25/7.5345</f>
        <v>6312.4626717101328</v>
      </c>
      <c r="F348" s="75">
        <f>149400/7.5345</f>
        <v>19828.787577145133</v>
      </c>
      <c r="G348" s="75"/>
      <c r="H348" s="75"/>
      <c r="I348" s="75"/>
    </row>
    <row r="349" spans="1:9" x14ac:dyDescent="0.25">
      <c r="A349" s="209">
        <v>3</v>
      </c>
      <c r="B349" s="210"/>
      <c r="C349" s="211"/>
      <c r="D349" s="50" t="s">
        <v>26</v>
      </c>
      <c r="E349" s="65">
        <f>E350+E351</f>
        <v>6312.4626717101328</v>
      </c>
      <c r="F349" s="65">
        <f t="shared" ref="F349:I349" si="120">F350+F351</f>
        <v>19828.787577145133</v>
      </c>
      <c r="G349" s="65">
        <f t="shared" si="120"/>
        <v>0</v>
      </c>
      <c r="H349" s="65">
        <f t="shared" si="120"/>
        <v>0</v>
      </c>
      <c r="I349" s="65">
        <f t="shared" si="120"/>
        <v>0</v>
      </c>
    </row>
    <row r="350" spans="1:9" x14ac:dyDescent="0.25">
      <c r="A350" s="212">
        <v>31</v>
      </c>
      <c r="B350" s="213"/>
      <c r="C350" s="214"/>
      <c r="D350" s="50" t="s">
        <v>29</v>
      </c>
      <c r="E350" s="65">
        <f>47561.25/7.5345</f>
        <v>6312.4626717101328</v>
      </c>
      <c r="F350" s="65">
        <f>148300/7.5345</f>
        <v>19682.792487889044</v>
      </c>
      <c r="G350" s="65"/>
      <c r="H350" s="65"/>
      <c r="I350" s="65"/>
    </row>
    <row r="351" spans="1:9" x14ac:dyDescent="0.25">
      <c r="A351" s="212">
        <v>32</v>
      </c>
      <c r="B351" s="213"/>
      <c r="C351" s="214"/>
      <c r="D351" s="50" t="s">
        <v>44</v>
      </c>
      <c r="E351" s="65"/>
      <c r="F351" s="65">
        <f>1100/7.5345</f>
        <v>145.99508925608865</v>
      </c>
      <c r="G351" s="65"/>
      <c r="H351" s="65"/>
      <c r="I351" s="65"/>
    </row>
    <row r="352" spans="1:9" ht="29.25" customHeight="1" x14ac:dyDescent="0.25">
      <c r="A352" s="223" t="s">
        <v>202</v>
      </c>
      <c r="B352" s="224"/>
      <c r="C352" s="224"/>
      <c r="D352" s="225"/>
      <c r="E352" s="84">
        <f>E354</f>
        <v>0</v>
      </c>
      <c r="F352" s="84">
        <f t="shared" ref="F352:I352" si="121">F354</f>
        <v>4360.3424248457095</v>
      </c>
      <c r="G352" s="84">
        <f t="shared" si="121"/>
        <v>10033.84</v>
      </c>
      <c r="H352" s="84">
        <f t="shared" si="121"/>
        <v>0</v>
      </c>
      <c r="I352" s="84">
        <f t="shared" si="121"/>
        <v>0</v>
      </c>
    </row>
    <row r="353" spans="1:9" x14ac:dyDescent="0.25">
      <c r="A353" s="218" t="s">
        <v>90</v>
      </c>
      <c r="B353" s="219"/>
      <c r="C353" s="219"/>
      <c r="D353" s="219"/>
      <c r="E353" s="66"/>
      <c r="F353" s="75">
        <f>32853/7.5345</f>
        <v>4360.3424248457095</v>
      </c>
      <c r="G353" s="75">
        <v>10033.84</v>
      </c>
      <c r="H353" s="75"/>
      <c r="I353" s="75"/>
    </row>
    <row r="354" spans="1:9" x14ac:dyDescent="0.25">
      <c r="A354" s="209">
        <v>3</v>
      </c>
      <c r="B354" s="210"/>
      <c r="C354" s="211"/>
      <c r="D354" s="50" t="s">
        <v>26</v>
      </c>
      <c r="E354" s="65"/>
      <c r="F354" s="65">
        <f t="shared" ref="F354" si="122">F355+F356</f>
        <v>4360.3424248457095</v>
      </c>
      <c r="G354" s="65">
        <f t="shared" ref="G354" si="123">G355+G356</f>
        <v>10033.84</v>
      </c>
      <c r="H354" s="65">
        <f t="shared" ref="H354" si="124">H355+H356</f>
        <v>0</v>
      </c>
      <c r="I354" s="65">
        <f t="shared" ref="I354" si="125">I355+I356</f>
        <v>0</v>
      </c>
    </row>
    <row r="355" spans="1:9" x14ac:dyDescent="0.25">
      <c r="A355" s="212">
        <v>31</v>
      </c>
      <c r="B355" s="213"/>
      <c r="C355" s="214"/>
      <c r="D355" s="50" t="s">
        <v>29</v>
      </c>
      <c r="E355" s="65"/>
      <c r="F355" s="65">
        <f>32853/7.5345</f>
        <v>4360.3424248457095</v>
      </c>
      <c r="G355" s="65">
        <v>9901.1200000000008</v>
      </c>
      <c r="H355" s="65"/>
      <c r="I355" s="65"/>
    </row>
    <row r="356" spans="1:9" x14ac:dyDescent="0.25">
      <c r="A356" s="212">
        <v>32</v>
      </c>
      <c r="B356" s="213"/>
      <c r="C356" s="214"/>
      <c r="D356" s="50" t="s">
        <v>44</v>
      </c>
      <c r="E356" s="65"/>
      <c r="F356" s="65"/>
      <c r="G356" s="65">
        <v>132.72</v>
      </c>
      <c r="H356" s="65"/>
      <c r="I356" s="65"/>
    </row>
    <row r="357" spans="1:9" x14ac:dyDescent="0.25">
      <c r="A357" s="223" t="s">
        <v>203</v>
      </c>
      <c r="B357" s="224"/>
      <c r="C357" s="224"/>
      <c r="D357" s="225"/>
      <c r="E357" s="81"/>
      <c r="F357" s="86">
        <f>F359</f>
        <v>10900.856062114273</v>
      </c>
      <c r="G357" s="86">
        <f t="shared" ref="G357:I357" si="126">G359</f>
        <v>19934.960000000003</v>
      </c>
      <c r="H357" s="86">
        <f t="shared" si="126"/>
        <v>0</v>
      </c>
      <c r="I357" s="86">
        <f t="shared" si="126"/>
        <v>0</v>
      </c>
    </row>
    <row r="358" spans="1:9" x14ac:dyDescent="0.25">
      <c r="A358" s="218" t="s">
        <v>90</v>
      </c>
      <c r="B358" s="219"/>
      <c r="C358" s="219"/>
      <c r="D358" s="219"/>
      <c r="E358" s="75"/>
      <c r="F358" s="75">
        <f>82132.5/7.5345</f>
        <v>10900.856062114273</v>
      </c>
      <c r="G358" s="75">
        <v>19934.96</v>
      </c>
      <c r="H358" s="75"/>
      <c r="I358" s="75"/>
    </row>
    <row r="359" spans="1:9" x14ac:dyDescent="0.25">
      <c r="A359" s="209">
        <v>3</v>
      </c>
      <c r="B359" s="210"/>
      <c r="C359" s="211"/>
      <c r="D359" s="50" t="s">
        <v>26</v>
      </c>
      <c r="E359" s="65"/>
      <c r="F359" s="65">
        <f>F360</f>
        <v>10900.856062114273</v>
      </c>
      <c r="G359" s="65">
        <f>G360+G361</f>
        <v>19934.960000000003</v>
      </c>
      <c r="H359" s="65">
        <f t="shared" ref="H359:I359" si="127">H360</f>
        <v>0</v>
      </c>
      <c r="I359" s="65">
        <f t="shared" si="127"/>
        <v>0</v>
      </c>
    </row>
    <row r="360" spans="1:9" x14ac:dyDescent="0.25">
      <c r="A360" s="212">
        <v>31</v>
      </c>
      <c r="B360" s="213"/>
      <c r="C360" s="214"/>
      <c r="D360" s="50" t="s">
        <v>29</v>
      </c>
      <c r="E360" s="65"/>
      <c r="F360" s="65">
        <f>82132.5/7.5345</f>
        <v>10900.856062114273</v>
      </c>
      <c r="G360" s="65">
        <v>19802.240000000002</v>
      </c>
      <c r="H360" s="65"/>
      <c r="I360" s="65"/>
    </row>
    <row r="361" spans="1:9" x14ac:dyDescent="0.25">
      <c r="A361" s="212">
        <v>32</v>
      </c>
      <c r="B361" s="213"/>
      <c r="C361" s="214"/>
      <c r="D361" s="50" t="s">
        <v>44</v>
      </c>
      <c r="E361" s="65"/>
      <c r="F361" s="65"/>
      <c r="G361" s="65">
        <v>132.72</v>
      </c>
      <c r="H361" s="65"/>
      <c r="I361" s="65"/>
    </row>
    <row r="362" spans="1:9" x14ac:dyDescent="0.25">
      <c r="A362" s="231" t="s">
        <v>153</v>
      </c>
      <c r="B362" s="232"/>
      <c r="C362" s="232"/>
      <c r="D362" s="233"/>
      <c r="E362" s="105">
        <f>E363+E367</f>
        <v>4374.2265578339639</v>
      </c>
      <c r="F362" s="105">
        <f t="shared" ref="F362:I362" si="128">F363+F367</f>
        <v>14334.063308779612</v>
      </c>
      <c r="G362" s="105">
        <f>G363+G367</f>
        <v>26279.11</v>
      </c>
      <c r="H362" s="105">
        <f t="shared" si="128"/>
        <v>15000</v>
      </c>
      <c r="I362" s="105">
        <f t="shared" si="128"/>
        <v>15000</v>
      </c>
    </row>
    <row r="363" spans="1:9" x14ac:dyDescent="0.25">
      <c r="A363" s="228" t="s">
        <v>191</v>
      </c>
      <c r="B363" s="229"/>
      <c r="C363" s="229"/>
      <c r="D363" s="230"/>
      <c r="E363" s="82">
        <f>E365</f>
        <v>1876.833233791227</v>
      </c>
      <c r="F363" s="82">
        <f t="shared" ref="F363:I363" si="129">F365</f>
        <v>4379.8526776826593</v>
      </c>
      <c r="G363" s="82">
        <f t="shared" si="129"/>
        <v>4379.8500000000004</v>
      </c>
      <c r="H363" s="82">
        <f t="shared" si="129"/>
        <v>5000</v>
      </c>
      <c r="I363" s="82">
        <f t="shared" si="129"/>
        <v>5000</v>
      </c>
    </row>
    <row r="364" spans="1:9" x14ac:dyDescent="0.25">
      <c r="A364" s="56" t="s">
        <v>88</v>
      </c>
      <c r="B364" s="56"/>
      <c r="C364" s="56"/>
      <c r="D364" s="56"/>
      <c r="E364" s="70">
        <f>E365</f>
        <v>1876.833233791227</v>
      </c>
      <c r="F364" s="75">
        <f>33000/7.5345</f>
        <v>4379.8526776826593</v>
      </c>
      <c r="G364" s="75">
        <v>4379.8500000000004</v>
      </c>
      <c r="H364" s="75">
        <v>5000</v>
      </c>
      <c r="I364" s="75">
        <v>5000</v>
      </c>
    </row>
    <row r="365" spans="1:9" x14ac:dyDescent="0.25">
      <c r="A365" s="209">
        <v>3</v>
      </c>
      <c r="B365" s="210"/>
      <c r="C365" s="211"/>
      <c r="D365" s="50" t="s">
        <v>26</v>
      </c>
      <c r="E365" s="65">
        <f>E366</f>
        <v>1876.833233791227</v>
      </c>
      <c r="F365" s="65">
        <f t="shared" ref="F365:I365" si="130">F366</f>
        <v>4379.8526776826593</v>
      </c>
      <c r="G365" s="65">
        <f t="shared" si="130"/>
        <v>4379.8500000000004</v>
      </c>
      <c r="H365" s="65">
        <f t="shared" si="130"/>
        <v>5000</v>
      </c>
      <c r="I365" s="65">
        <f t="shared" si="130"/>
        <v>5000</v>
      </c>
    </row>
    <row r="366" spans="1:9" x14ac:dyDescent="0.25">
      <c r="A366" s="212">
        <v>38</v>
      </c>
      <c r="B366" s="213"/>
      <c r="C366" s="214"/>
      <c r="D366" s="50" t="s">
        <v>68</v>
      </c>
      <c r="E366" s="65">
        <f>14141/7.5345</f>
        <v>1876.833233791227</v>
      </c>
      <c r="F366" s="65">
        <f>33000/7.5345</f>
        <v>4379.8526776826593</v>
      </c>
      <c r="G366" s="65">
        <v>4379.8500000000004</v>
      </c>
      <c r="H366" s="65">
        <v>5000</v>
      </c>
      <c r="I366" s="65">
        <v>5000</v>
      </c>
    </row>
    <row r="367" spans="1:9" ht="30" customHeight="1" x14ac:dyDescent="0.25">
      <c r="A367" s="223" t="s">
        <v>154</v>
      </c>
      <c r="B367" s="224"/>
      <c r="C367" s="224"/>
      <c r="D367" s="225"/>
      <c r="E367" s="79">
        <f>E369</f>
        <v>2497.3933240427368</v>
      </c>
      <c r="F367" s="79">
        <f t="shared" ref="F367:I367" si="131">F369</f>
        <v>9954.2106310969539</v>
      </c>
      <c r="G367" s="79">
        <f t="shared" si="131"/>
        <v>21899.26</v>
      </c>
      <c r="H367" s="79">
        <f t="shared" si="131"/>
        <v>10000</v>
      </c>
      <c r="I367" s="79">
        <f t="shared" si="131"/>
        <v>10000</v>
      </c>
    </row>
    <row r="368" spans="1:9" x14ac:dyDescent="0.25">
      <c r="A368" s="56" t="s">
        <v>88</v>
      </c>
      <c r="B368" s="56"/>
      <c r="C368" s="56"/>
      <c r="D368" s="56"/>
      <c r="E368" s="57">
        <f>E369</f>
        <v>2497.3933240427368</v>
      </c>
      <c r="F368" s="66">
        <f>75000/7.5345</f>
        <v>9954.2106310969539</v>
      </c>
      <c r="G368" s="75">
        <v>21899.26</v>
      </c>
      <c r="H368" s="75">
        <v>10000</v>
      </c>
      <c r="I368" s="75">
        <v>10000</v>
      </c>
    </row>
    <row r="369" spans="1:9" x14ac:dyDescent="0.25">
      <c r="A369" s="209">
        <v>3</v>
      </c>
      <c r="B369" s="210"/>
      <c r="C369" s="211"/>
      <c r="D369" s="50" t="s">
        <v>26</v>
      </c>
      <c r="E369" s="52">
        <f>E370</f>
        <v>2497.3933240427368</v>
      </c>
      <c r="F369" s="52">
        <f t="shared" ref="F369:I369" si="132">F370</f>
        <v>9954.2106310969539</v>
      </c>
      <c r="G369" s="52">
        <f t="shared" si="132"/>
        <v>21899.26</v>
      </c>
      <c r="H369" s="52">
        <f t="shared" si="132"/>
        <v>10000</v>
      </c>
      <c r="I369" s="52">
        <f t="shared" si="132"/>
        <v>10000</v>
      </c>
    </row>
    <row r="370" spans="1:9" x14ac:dyDescent="0.25">
      <c r="A370" s="212">
        <v>38</v>
      </c>
      <c r="B370" s="213"/>
      <c r="C370" s="214"/>
      <c r="D370" s="50" t="s">
        <v>68</v>
      </c>
      <c r="E370" s="52">
        <f>18816.61/7.5345</f>
        <v>2497.3933240427368</v>
      </c>
      <c r="F370" s="65">
        <f>75000/7.5345</f>
        <v>9954.2106310969539</v>
      </c>
      <c r="G370" s="65">
        <v>21899.26</v>
      </c>
      <c r="H370" s="65">
        <v>10000</v>
      </c>
      <c r="I370" s="65">
        <v>10000</v>
      </c>
    </row>
    <row r="371" spans="1:9" x14ac:dyDescent="0.25">
      <c r="A371" s="243" t="s">
        <v>155</v>
      </c>
      <c r="B371" s="244"/>
      <c r="C371" s="244"/>
      <c r="D371" s="245"/>
      <c r="E371" s="122">
        <f>E372</f>
        <v>1327.2280841462605</v>
      </c>
      <c r="F371" s="122">
        <f t="shared" ref="F371:I372" si="133">F372</f>
        <v>1327.2280841462605</v>
      </c>
      <c r="G371" s="122">
        <f t="shared" si="133"/>
        <v>1327.23</v>
      </c>
      <c r="H371" s="122">
        <f t="shared" si="133"/>
        <v>1400</v>
      </c>
      <c r="I371" s="122">
        <f t="shared" si="133"/>
        <v>1400</v>
      </c>
    </row>
    <row r="372" spans="1:9" x14ac:dyDescent="0.25">
      <c r="A372" s="102" t="s">
        <v>156</v>
      </c>
      <c r="B372" s="102"/>
      <c r="C372" s="102"/>
      <c r="D372" s="102"/>
      <c r="E372" s="105">
        <f>E373</f>
        <v>1327.2280841462605</v>
      </c>
      <c r="F372" s="105">
        <f t="shared" si="133"/>
        <v>1327.2280841462605</v>
      </c>
      <c r="G372" s="105">
        <f t="shared" si="133"/>
        <v>1327.23</v>
      </c>
      <c r="H372" s="105">
        <f t="shared" si="133"/>
        <v>1400</v>
      </c>
      <c r="I372" s="105">
        <f t="shared" si="133"/>
        <v>1400</v>
      </c>
    </row>
    <row r="373" spans="1:9" x14ac:dyDescent="0.25">
      <c r="A373" s="77" t="s">
        <v>157</v>
      </c>
      <c r="B373" s="78"/>
      <c r="C373" s="78"/>
      <c r="D373" s="78"/>
      <c r="E373" s="79">
        <f>E375</f>
        <v>1327.2280841462605</v>
      </c>
      <c r="F373" s="79">
        <f t="shared" ref="F373:I373" si="134">F375</f>
        <v>1327.2280841462605</v>
      </c>
      <c r="G373" s="79">
        <f t="shared" si="134"/>
        <v>1327.23</v>
      </c>
      <c r="H373" s="79">
        <f t="shared" si="134"/>
        <v>1400</v>
      </c>
      <c r="I373" s="79">
        <f t="shared" si="134"/>
        <v>1400</v>
      </c>
    </row>
    <row r="374" spans="1:9" x14ac:dyDescent="0.25">
      <c r="A374" s="56" t="s">
        <v>88</v>
      </c>
      <c r="B374" s="56"/>
      <c r="C374" s="56"/>
      <c r="D374" s="56"/>
      <c r="E374" s="70">
        <f>E375</f>
        <v>1327.2280841462605</v>
      </c>
      <c r="F374" s="75">
        <f>10000/7.5345</f>
        <v>1327.2280841462605</v>
      </c>
      <c r="G374" s="75">
        <v>1327.23</v>
      </c>
      <c r="H374" s="75">
        <v>1400</v>
      </c>
      <c r="I374" s="75">
        <v>1400</v>
      </c>
    </row>
    <row r="375" spans="1:9" x14ac:dyDescent="0.25">
      <c r="A375" s="209">
        <v>3</v>
      </c>
      <c r="B375" s="210"/>
      <c r="C375" s="211"/>
      <c r="D375" s="50" t="s">
        <v>26</v>
      </c>
      <c r="E375" s="52">
        <f>E376</f>
        <v>1327.2280841462605</v>
      </c>
      <c r="F375" s="52">
        <f t="shared" ref="F375:I375" si="135">F376</f>
        <v>1327.2280841462605</v>
      </c>
      <c r="G375" s="52">
        <f t="shared" si="135"/>
        <v>1327.23</v>
      </c>
      <c r="H375" s="52">
        <f t="shared" si="135"/>
        <v>1400</v>
      </c>
      <c r="I375" s="52">
        <f t="shared" si="135"/>
        <v>1400</v>
      </c>
    </row>
    <row r="376" spans="1:9" x14ac:dyDescent="0.25">
      <c r="A376" s="212">
        <v>38</v>
      </c>
      <c r="B376" s="213"/>
      <c r="C376" s="214"/>
      <c r="D376" s="50" t="s">
        <v>68</v>
      </c>
      <c r="E376" s="52">
        <f>10000/7.5345</f>
        <v>1327.2280841462605</v>
      </c>
      <c r="F376" s="65">
        <f>10000/7.5345</f>
        <v>1327.2280841462605</v>
      </c>
      <c r="G376" s="65">
        <v>1327.23</v>
      </c>
      <c r="H376" s="65">
        <v>1400</v>
      </c>
      <c r="I376" s="65">
        <v>1400</v>
      </c>
    </row>
    <row r="377" spans="1:9" x14ac:dyDescent="0.25">
      <c r="E377" s="40"/>
      <c r="F377" s="40"/>
      <c r="G377" s="40"/>
      <c r="H377" s="40"/>
      <c r="I377" s="40"/>
    </row>
    <row r="378" spans="1:9" x14ac:dyDescent="0.25">
      <c r="E378" s="40"/>
      <c r="F378" s="40"/>
      <c r="G378" s="40"/>
      <c r="H378" s="40"/>
      <c r="I378" s="40"/>
    </row>
    <row r="379" spans="1:9" x14ac:dyDescent="0.25">
      <c r="A379" t="s">
        <v>219</v>
      </c>
      <c r="E379" s="40"/>
      <c r="F379" s="40"/>
      <c r="G379" s="40"/>
      <c r="H379" s="40"/>
      <c r="I379" s="40"/>
    </row>
    <row r="380" spans="1:9" x14ac:dyDescent="0.25">
      <c r="A380" t="s">
        <v>220</v>
      </c>
      <c r="E380" s="40"/>
      <c r="F380" s="40"/>
      <c r="G380" s="40"/>
      <c r="H380" s="40"/>
      <c r="I380" s="40"/>
    </row>
    <row r="381" spans="1:9" x14ac:dyDescent="0.25">
      <c r="A381" t="s">
        <v>221</v>
      </c>
      <c r="E381" s="40"/>
      <c r="F381" s="40"/>
      <c r="G381" s="40"/>
      <c r="H381" s="40"/>
      <c r="I381" s="40"/>
    </row>
    <row r="382" spans="1:9" x14ac:dyDescent="0.25">
      <c r="E382" s="40"/>
      <c r="F382" s="40"/>
      <c r="G382" s="40"/>
      <c r="H382" s="40"/>
      <c r="I382" s="40"/>
    </row>
  </sheetData>
  <mergeCells count="345">
    <mergeCell ref="F253:F254"/>
    <mergeCell ref="G253:G254"/>
    <mergeCell ref="H253:H254"/>
    <mergeCell ref="I253:I254"/>
    <mergeCell ref="A237:D237"/>
    <mergeCell ref="A239:C239"/>
    <mergeCell ref="F223:F224"/>
    <mergeCell ref="G223:G224"/>
    <mergeCell ref="H223:H224"/>
    <mergeCell ref="I223:I224"/>
    <mergeCell ref="A229:C229"/>
    <mergeCell ref="A230:C230"/>
    <mergeCell ref="A232:D232"/>
    <mergeCell ref="A249:C249"/>
    <mergeCell ref="A250:C250"/>
    <mergeCell ref="A253:D253"/>
    <mergeCell ref="E253:E254"/>
    <mergeCell ref="F186:F187"/>
    <mergeCell ref="G186:G187"/>
    <mergeCell ref="H186:H187"/>
    <mergeCell ref="I186:I187"/>
    <mergeCell ref="F188:F189"/>
    <mergeCell ref="G188:G189"/>
    <mergeCell ref="H188:H189"/>
    <mergeCell ref="I188:I189"/>
    <mergeCell ref="A217:C217"/>
    <mergeCell ref="A191:C191"/>
    <mergeCell ref="A192:C192"/>
    <mergeCell ref="A189:D189"/>
    <mergeCell ref="E188:E189"/>
    <mergeCell ref="E186:E187"/>
    <mergeCell ref="A188:D188"/>
    <mergeCell ref="A196:C196"/>
    <mergeCell ref="A197:C197"/>
    <mergeCell ref="A198:C198"/>
    <mergeCell ref="A202:C202"/>
    <mergeCell ref="A203:C203"/>
    <mergeCell ref="A204:C204"/>
    <mergeCell ref="A215:C215"/>
    <mergeCell ref="A216:C216"/>
    <mergeCell ref="F164:F165"/>
    <mergeCell ref="G164:G165"/>
    <mergeCell ref="H164:H165"/>
    <mergeCell ref="I164:I165"/>
    <mergeCell ref="F180:F181"/>
    <mergeCell ref="G180:G181"/>
    <mergeCell ref="H180:H181"/>
    <mergeCell ref="I180:I181"/>
    <mergeCell ref="A159:D159"/>
    <mergeCell ref="A162:C162"/>
    <mergeCell ref="A163:C163"/>
    <mergeCell ref="A170:D170"/>
    <mergeCell ref="A172:C172"/>
    <mergeCell ref="A173:C173"/>
    <mergeCell ref="A164:D164"/>
    <mergeCell ref="A165:D165"/>
    <mergeCell ref="E164:E165"/>
    <mergeCell ref="A168:C168"/>
    <mergeCell ref="A169:C169"/>
    <mergeCell ref="A181:D181"/>
    <mergeCell ref="E180:E181"/>
    <mergeCell ref="F129:F130"/>
    <mergeCell ref="G129:G130"/>
    <mergeCell ref="H129:H130"/>
    <mergeCell ref="I129:I130"/>
    <mergeCell ref="A142:D142"/>
    <mergeCell ref="A146:C146"/>
    <mergeCell ref="A147:C147"/>
    <mergeCell ref="A149:D149"/>
    <mergeCell ref="F89:F90"/>
    <mergeCell ref="G89:G90"/>
    <mergeCell ref="H89:H90"/>
    <mergeCell ref="I89:I90"/>
    <mergeCell ref="F100:F101"/>
    <mergeCell ref="G100:G101"/>
    <mergeCell ref="H100:H101"/>
    <mergeCell ref="I100:I101"/>
    <mergeCell ref="F103:F104"/>
    <mergeCell ref="G103:G104"/>
    <mergeCell ref="H103:H104"/>
    <mergeCell ref="I103:I104"/>
    <mergeCell ref="A135:C135"/>
    <mergeCell ref="A115:C115"/>
    <mergeCell ref="A116:C116"/>
    <mergeCell ref="A105:D105"/>
    <mergeCell ref="A54:D54"/>
    <mergeCell ref="A56:C56"/>
    <mergeCell ref="A57:C57"/>
    <mergeCell ref="A55:D55"/>
    <mergeCell ref="A51:D51"/>
    <mergeCell ref="A36:D36"/>
    <mergeCell ref="A37:D37"/>
    <mergeCell ref="A38:D38"/>
    <mergeCell ref="A18:D18"/>
    <mergeCell ref="A21:C21"/>
    <mergeCell ref="A53:C53"/>
    <mergeCell ref="A184:C184"/>
    <mergeCell ref="A185:C185"/>
    <mergeCell ref="A186:D186"/>
    <mergeCell ref="A180:D180"/>
    <mergeCell ref="A152:C152"/>
    <mergeCell ref="A153:C153"/>
    <mergeCell ref="A154:D154"/>
    <mergeCell ref="A157:C157"/>
    <mergeCell ref="A158:C158"/>
    <mergeCell ref="E129:E130"/>
    <mergeCell ref="A128:D128"/>
    <mergeCell ref="A129:D129"/>
    <mergeCell ref="A107:D107"/>
    <mergeCell ref="A112:D112"/>
    <mergeCell ref="A123:D123"/>
    <mergeCell ref="A118:D118"/>
    <mergeCell ref="A119:D119"/>
    <mergeCell ref="A120:C120"/>
    <mergeCell ref="A121:C121"/>
    <mergeCell ref="A124:D124"/>
    <mergeCell ref="A89:D89"/>
    <mergeCell ref="E89:E90"/>
    <mergeCell ref="A91:D91"/>
    <mergeCell ref="A92:C92"/>
    <mergeCell ref="A93:C93"/>
    <mergeCell ref="A94:C94"/>
    <mergeCell ref="A75:C75"/>
    <mergeCell ref="A81:D81"/>
    <mergeCell ref="A117:D117"/>
    <mergeCell ref="A95:D95"/>
    <mergeCell ref="A96:D96"/>
    <mergeCell ref="A97:D97"/>
    <mergeCell ref="A98:C98"/>
    <mergeCell ref="A99:C99"/>
    <mergeCell ref="A101:D101"/>
    <mergeCell ref="A102:D102"/>
    <mergeCell ref="A109:C109"/>
    <mergeCell ref="A113:C113"/>
    <mergeCell ref="A114:C114"/>
    <mergeCell ref="A103:D103"/>
    <mergeCell ref="A104:D104"/>
    <mergeCell ref="E103:E104"/>
    <mergeCell ref="A82:D82"/>
    <mergeCell ref="A83:D83"/>
    <mergeCell ref="A84:D84"/>
    <mergeCell ref="A85:C85"/>
    <mergeCell ref="A86:C86"/>
    <mergeCell ref="A58:D58"/>
    <mergeCell ref="A59:D59"/>
    <mergeCell ref="A60:C60"/>
    <mergeCell ref="A61:C61"/>
    <mergeCell ref="A62:D62"/>
    <mergeCell ref="A63:D63"/>
    <mergeCell ref="A64:D64"/>
    <mergeCell ref="A65:C65"/>
    <mergeCell ref="A66:C66"/>
    <mergeCell ref="A68:D68"/>
    <mergeCell ref="A69:D69"/>
    <mergeCell ref="A70:C70"/>
    <mergeCell ref="A71:C71"/>
    <mergeCell ref="A72:D72"/>
    <mergeCell ref="A73:D73"/>
    <mergeCell ref="A74:C74"/>
    <mergeCell ref="A76:D76"/>
    <mergeCell ref="A79:C79"/>
    <mergeCell ref="A80:C80"/>
    <mergeCell ref="A77:D77"/>
    <mergeCell ref="A78:D78"/>
    <mergeCell ref="A2:I2"/>
    <mergeCell ref="A14:C14"/>
    <mergeCell ref="A20:C20"/>
    <mergeCell ref="A16:C16"/>
    <mergeCell ref="A15:C15"/>
    <mergeCell ref="A19:C19"/>
    <mergeCell ref="A127:C127"/>
    <mergeCell ref="A122:D122"/>
    <mergeCell ref="A126:C126"/>
    <mergeCell ref="A26:C26"/>
    <mergeCell ref="A29:D29"/>
    <mergeCell ref="A30:C30"/>
    <mergeCell ref="A31:C31"/>
    <mergeCell ref="A25:C25"/>
    <mergeCell ref="A32:D32"/>
    <mergeCell ref="A34:D34"/>
    <mergeCell ref="A35:D35"/>
    <mergeCell ref="A28:D28"/>
    <mergeCell ref="A39:C39"/>
    <mergeCell ref="A40:C40"/>
    <mergeCell ref="A41:C41"/>
    <mergeCell ref="A42:C42"/>
    <mergeCell ref="A44:C44"/>
    <mergeCell ref="A45:D45"/>
    <mergeCell ref="A4:I4"/>
    <mergeCell ref="A6:C6"/>
    <mergeCell ref="A13:C13"/>
    <mergeCell ref="A46:D46"/>
    <mergeCell ref="A47:C47"/>
    <mergeCell ref="A48:C48"/>
    <mergeCell ref="A49:C49"/>
    <mergeCell ref="A50:D50"/>
    <mergeCell ref="A52:C52"/>
    <mergeCell ref="A24:D24"/>
    <mergeCell ref="A8:D8"/>
    <mergeCell ref="A9:D9"/>
    <mergeCell ref="A11:D11"/>
    <mergeCell ref="A12:D12"/>
    <mergeCell ref="A17:D17"/>
    <mergeCell ref="A218:D218"/>
    <mergeCell ref="A223:D223"/>
    <mergeCell ref="A224:D224"/>
    <mergeCell ref="E223:E224"/>
    <mergeCell ref="A205:C205"/>
    <mergeCell ref="A199:D199"/>
    <mergeCell ref="A206:D206"/>
    <mergeCell ref="A208:C208"/>
    <mergeCell ref="A209:C209"/>
    <mergeCell ref="A210:C210"/>
    <mergeCell ref="A211:C211"/>
    <mergeCell ref="A219:D219"/>
    <mergeCell ref="A221:C221"/>
    <mergeCell ref="A222:C222"/>
    <mergeCell ref="A259:C259"/>
    <mergeCell ref="A260:C260"/>
    <mergeCell ref="A261:C261"/>
    <mergeCell ref="A227:C227"/>
    <mergeCell ref="A228:C228"/>
    <mergeCell ref="A243:C243"/>
    <mergeCell ref="A244:C244"/>
    <mergeCell ref="A246:D246"/>
    <mergeCell ref="A235:C235"/>
    <mergeCell ref="A236:C236"/>
    <mergeCell ref="A240:C240"/>
    <mergeCell ref="A251:C251"/>
    <mergeCell ref="A252:C252"/>
    <mergeCell ref="A257:C257"/>
    <mergeCell ref="A258:C258"/>
    <mergeCell ref="A268:C268"/>
    <mergeCell ref="A269:C269"/>
    <mergeCell ref="A270:C270"/>
    <mergeCell ref="A271:C271"/>
    <mergeCell ref="A272:C272"/>
    <mergeCell ref="A273:C273"/>
    <mergeCell ref="A275:D275"/>
    <mergeCell ref="A276:D276"/>
    <mergeCell ref="E275:E276"/>
    <mergeCell ref="A285:C285"/>
    <mergeCell ref="A289:C289"/>
    <mergeCell ref="A290:C290"/>
    <mergeCell ref="A292:D292"/>
    <mergeCell ref="E291:E292"/>
    <mergeCell ref="A294:D294"/>
    <mergeCell ref="A278:C278"/>
    <mergeCell ref="A279:C279"/>
    <mergeCell ref="A280:D280"/>
    <mergeCell ref="A281:D281"/>
    <mergeCell ref="A282:D282"/>
    <mergeCell ref="E281:E282"/>
    <mergeCell ref="A284:C284"/>
    <mergeCell ref="A304:C304"/>
    <mergeCell ref="E307:E308"/>
    <mergeCell ref="A307:D307"/>
    <mergeCell ref="A310:C310"/>
    <mergeCell ref="A311:C311"/>
    <mergeCell ref="A314:D314"/>
    <mergeCell ref="E313:E314"/>
    <mergeCell ref="A313:D313"/>
    <mergeCell ref="A297:C297"/>
    <mergeCell ref="A298:C298"/>
    <mergeCell ref="A299:C299"/>
    <mergeCell ref="A300:D300"/>
    <mergeCell ref="A301:D301"/>
    <mergeCell ref="A303:C303"/>
    <mergeCell ref="A376:C376"/>
    <mergeCell ref="E100:E101"/>
    <mergeCell ref="A7:D7"/>
    <mergeCell ref="A43:C43"/>
    <mergeCell ref="A365:C365"/>
    <mergeCell ref="A366:C366"/>
    <mergeCell ref="A367:D367"/>
    <mergeCell ref="A369:C369"/>
    <mergeCell ref="A370:C370"/>
    <mergeCell ref="A371:D371"/>
    <mergeCell ref="A375:C375"/>
    <mergeCell ref="A344:C344"/>
    <mergeCell ref="A345:C345"/>
    <mergeCell ref="A346:C346"/>
    <mergeCell ref="A349:C349"/>
    <mergeCell ref="A350:C350"/>
    <mergeCell ref="A351:C351"/>
    <mergeCell ref="A362:D362"/>
    <mergeCell ref="A363:D363"/>
    <mergeCell ref="A334:C334"/>
    <mergeCell ref="A336:C336"/>
    <mergeCell ref="A339:C339"/>
    <mergeCell ref="A340:C340"/>
    <mergeCell ref="A342:D342"/>
    <mergeCell ref="F275:F276"/>
    <mergeCell ref="G275:G276"/>
    <mergeCell ref="H275:H276"/>
    <mergeCell ref="I275:I276"/>
    <mergeCell ref="F281:F282"/>
    <mergeCell ref="G281:G282"/>
    <mergeCell ref="H281:H282"/>
    <mergeCell ref="I281:I282"/>
    <mergeCell ref="F291:F292"/>
    <mergeCell ref="G291:G292"/>
    <mergeCell ref="H291:H292"/>
    <mergeCell ref="I291:I292"/>
    <mergeCell ref="A352:D352"/>
    <mergeCell ref="F307:F308"/>
    <mergeCell ref="G307:G308"/>
    <mergeCell ref="H307:H308"/>
    <mergeCell ref="I307:I308"/>
    <mergeCell ref="F313:F314"/>
    <mergeCell ref="G313:G314"/>
    <mergeCell ref="H313:H314"/>
    <mergeCell ref="I313:I314"/>
    <mergeCell ref="A323:C323"/>
    <mergeCell ref="A341:D341"/>
    <mergeCell ref="A325:D325"/>
    <mergeCell ref="A327:C327"/>
    <mergeCell ref="A328:C328"/>
    <mergeCell ref="A316:C316"/>
    <mergeCell ref="A317:C317"/>
    <mergeCell ref="A319:D319"/>
    <mergeCell ref="A318:D318"/>
    <mergeCell ref="A321:C321"/>
    <mergeCell ref="A322:C322"/>
    <mergeCell ref="A324:C324"/>
    <mergeCell ref="A335:C335"/>
    <mergeCell ref="A353:D353"/>
    <mergeCell ref="A354:C354"/>
    <mergeCell ref="A355:C355"/>
    <mergeCell ref="A356:C356"/>
    <mergeCell ref="A357:D357"/>
    <mergeCell ref="A358:D358"/>
    <mergeCell ref="A359:C359"/>
    <mergeCell ref="A360:C360"/>
    <mergeCell ref="A361:C361"/>
    <mergeCell ref="A136:D136"/>
    <mergeCell ref="A140:C140"/>
    <mergeCell ref="A141:C141"/>
    <mergeCell ref="A174:D174"/>
    <mergeCell ref="A178:C178"/>
    <mergeCell ref="A179:C179"/>
    <mergeCell ref="A106:D106"/>
    <mergeCell ref="A108:C108"/>
    <mergeCell ref="A130:D130"/>
    <mergeCell ref="A134:C134"/>
  </mergeCells>
  <pageMargins left="0.31496062992125984" right="0.31496062992125984" top="0.55118110236220474" bottom="0.55118110236220474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2022-11-17T08:04:21Z</cp:lastPrinted>
  <dcterms:created xsi:type="dcterms:W3CDTF">2022-08-12T12:51:27Z</dcterms:created>
  <dcterms:modified xsi:type="dcterms:W3CDTF">2022-11-22T15:12:41Z</dcterms:modified>
</cp:coreProperties>
</file>