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Helena\Desktop\OV Ferdinandovac\saziv 2021-2025\20. sjednicu 2022\gotove odluke-još proračun\"/>
    </mc:Choice>
  </mc:AlternateContent>
  <xr:revisionPtr revIDLastSave="0" documentId="13_ncr:1_{0A4CF574-5202-4B3D-B393-5F3AD6E618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5" l="1"/>
  <c r="G368" i="7"/>
  <c r="G319" i="7"/>
  <c r="F17" i="3"/>
  <c r="F86" i="3"/>
  <c r="F88" i="3"/>
  <c r="F45" i="3"/>
  <c r="F87" i="3"/>
  <c r="F65" i="3"/>
  <c r="F67" i="3"/>
  <c r="F50" i="3"/>
  <c r="F52" i="3"/>
  <c r="F51" i="3"/>
  <c r="F55" i="3"/>
  <c r="F60" i="3"/>
  <c r="F70" i="3"/>
  <c r="F75" i="3"/>
  <c r="F81" i="3"/>
  <c r="F93" i="3"/>
  <c r="F91" i="3"/>
  <c r="F90" i="3"/>
  <c r="F85" i="3"/>
  <c r="F80" i="3"/>
  <c r="F74" i="3"/>
  <c r="F69" i="3"/>
  <c r="F64" i="3"/>
  <c r="F59" i="3"/>
  <c r="F54" i="3"/>
  <c r="F49" i="3"/>
  <c r="F44" i="3"/>
  <c r="H88" i="3" l="1"/>
  <c r="H52" i="3"/>
  <c r="I67" i="3"/>
  <c r="H67" i="3"/>
  <c r="I47" i="3"/>
  <c r="H47" i="3"/>
  <c r="I88" i="3"/>
  <c r="I87" i="3"/>
  <c r="H87" i="3"/>
  <c r="I52" i="3"/>
  <c r="I51" i="3"/>
  <c r="H51" i="3"/>
  <c r="I109" i="7"/>
  <c r="H135" i="7"/>
  <c r="G75" i="3"/>
  <c r="G70" i="3"/>
  <c r="G65" i="3"/>
  <c r="G86" i="3"/>
  <c r="G55" i="3"/>
  <c r="G45" i="3"/>
  <c r="G50" i="3"/>
  <c r="G91" i="3"/>
  <c r="G60" i="3"/>
  <c r="G81" i="3"/>
  <c r="G52" i="3"/>
  <c r="G88" i="3"/>
  <c r="G47" i="3"/>
  <c r="G70" i="7"/>
  <c r="G93" i="3"/>
  <c r="G51" i="3"/>
  <c r="G87" i="3"/>
  <c r="G92" i="3"/>
  <c r="G127" i="7"/>
  <c r="G268" i="7"/>
  <c r="G120" i="7"/>
  <c r="G114" i="7"/>
  <c r="G107" i="7"/>
  <c r="G109" i="7"/>
  <c r="F10" i="5"/>
  <c r="F15" i="5"/>
  <c r="E10" i="5"/>
  <c r="E15" i="5"/>
  <c r="D10" i="5"/>
  <c r="D15" i="5"/>
  <c r="G116" i="7"/>
  <c r="G111" i="7"/>
  <c r="H82" i="7"/>
  <c r="H81" i="7" s="1"/>
  <c r="H78" i="7" s="1"/>
  <c r="H79" i="7" s="1"/>
  <c r="I81" i="7"/>
  <c r="I78" i="7" s="1"/>
  <c r="G81" i="7"/>
  <c r="G78" i="7" s="1"/>
  <c r="G213" i="7"/>
  <c r="G212" i="7" s="1"/>
  <c r="G85" i="3"/>
  <c r="I74" i="3"/>
  <c r="I75" i="3" s="1"/>
  <c r="H74" i="3"/>
  <c r="G74" i="3"/>
  <c r="G49" i="3"/>
  <c r="G44" i="3"/>
  <c r="I69" i="3"/>
  <c r="I70" i="3" s="1"/>
  <c r="H69" i="3"/>
  <c r="G69" i="3"/>
  <c r="H64" i="3"/>
  <c r="H65" i="3" s="1"/>
  <c r="G64" i="3"/>
  <c r="I64" i="3"/>
  <c r="I85" i="3"/>
  <c r="H85" i="3"/>
  <c r="I54" i="3"/>
  <c r="I55" i="3" s="1"/>
  <c r="H54" i="3"/>
  <c r="G54" i="3"/>
  <c r="I49" i="3"/>
  <c r="H49" i="3"/>
  <c r="I44" i="3"/>
  <c r="H44" i="3"/>
  <c r="G90" i="3"/>
  <c r="I59" i="3"/>
  <c r="I60" i="3" s="1"/>
  <c r="H59" i="3"/>
  <c r="G59" i="3"/>
  <c r="I80" i="3"/>
  <c r="I81" i="3" s="1"/>
  <c r="G80" i="3"/>
  <c r="H137" i="7"/>
  <c r="I137" i="7"/>
  <c r="F23" i="5"/>
  <c r="D23" i="5"/>
  <c r="E23" i="5"/>
  <c r="F17" i="5"/>
  <c r="E17" i="5"/>
  <c r="D18" i="5"/>
  <c r="E18" i="5"/>
  <c r="F18" i="5"/>
  <c r="F14" i="5"/>
  <c r="E14" i="5"/>
  <c r="D14" i="5"/>
  <c r="D13" i="5"/>
  <c r="F13" i="5"/>
  <c r="E13" i="5"/>
  <c r="H329" i="7"/>
  <c r="H327" i="7" s="1"/>
  <c r="I329" i="7"/>
  <c r="I327" i="7" s="1"/>
  <c r="H251" i="7"/>
  <c r="H248" i="7" s="1"/>
  <c r="I27" i="7"/>
  <c r="I24" i="7" s="1"/>
  <c r="H15" i="7"/>
  <c r="I15" i="7"/>
  <c r="G361" i="7"/>
  <c r="G359" i="7" s="1"/>
  <c r="H361" i="7"/>
  <c r="H359" i="7" s="1"/>
  <c r="I361" i="7"/>
  <c r="I359" i="7" s="1"/>
  <c r="H336" i="7"/>
  <c r="I336" i="7"/>
  <c r="G336" i="7"/>
  <c r="G329" i="7"/>
  <c r="G327" i="7" s="1"/>
  <c r="G251" i="7"/>
  <c r="G248" i="7" s="1"/>
  <c r="I248" i="7"/>
  <c r="H239" i="7"/>
  <c r="I239" i="7"/>
  <c r="G241" i="7"/>
  <c r="G239" i="7" s="1"/>
  <c r="H234" i="7"/>
  <c r="I234" i="7"/>
  <c r="G237" i="7"/>
  <c r="G234" i="7" s="1"/>
  <c r="G235" i="7" s="1"/>
  <c r="G231" i="7"/>
  <c r="G223" i="7"/>
  <c r="G221" i="7" s="1"/>
  <c r="G180" i="7"/>
  <c r="G176" i="7" s="1"/>
  <c r="G170" i="7"/>
  <c r="G166" i="7" s="1"/>
  <c r="G164" i="7"/>
  <c r="G161" i="7" s="1"/>
  <c r="G163" i="7" s="1"/>
  <c r="G142" i="7"/>
  <c r="G138" i="7" s="1"/>
  <c r="H144" i="7"/>
  <c r="I144" i="7"/>
  <c r="G148" i="7"/>
  <c r="G144" i="7" s="1"/>
  <c r="H56" i="7"/>
  <c r="I56" i="7"/>
  <c r="G58" i="7"/>
  <c r="G56" i="7" s="1"/>
  <c r="G21" i="7"/>
  <c r="J20" i="1"/>
  <c r="I45" i="3" l="1"/>
  <c r="I65" i="3"/>
  <c r="H50" i="3"/>
  <c r="I50" i="3"/>
  <c r="H86" i="3"/>
  <c r="H45" i="3"/>
  <c r="I86" i="3"/>
  <c r="G43" i="3"/>
  <c r="G79" i="3"/>
  <c r="I43" i="3"/>
  <c r="H43" i="3"/>
  <c r="I18" i="3"/>
  <c r="H18" i="3"/>
  <c r="H22" i="3"/>
  <c r="I22" i="3"/>
  <c r="H25" i="3"/>
  <c r="I25" i="3"/>
  <c r="H29" i="3"/>
  <c r="I29" i="3"/>
  <c r="I33" i="3"/>
  <c r="H33" i="3"/>
  <c r="I37" i="3"/>
  <c r="H37" i="3"/>
  <c r="G21" i="3"/>
  <c r="G30" i="3"/>
  <c r="G26" i="3"/>
  <c r="G36" i="3"/>
  <c r="G37" i="3" s="1"/>
  <c r="G32" i="3"/>
  <c r="G33" i="3" s="1"/>
  <c r="G28" i="3"/>
  <c r="G29" i="3" s="1"/>
  <c r="G24" i="3"/>
  <c r="G25" i="3" s="1"/>
  <c r="G20" i="3"/>
  <c r="G17" i="3"/>
  <c r="G18" i="3" s="1"/>
  <c r="J17" i="1"/>
  <c r="J18" i="1"/>
  <c r="F79" i="3"/>
  <c r="F43" i="3"/>
  <c r="G22" i="3" l="1"/>
  <c r="E88" i="3" l="1"/>
  <c r="E52" i="3"/>
  <c r="E47" i="3"/>
  <c r="E67" i="3"/>
  <c r="E72" i="3"/>
  <c r="E93" i="3"/>
  <c r="E87" i="3"/>
  <c r="E51" i="3"/>
  <c r="E22" i="3" l="1"/>
  <c r="E26" i="3"/>
  <c r="E30" i="3"/>
  <c r="F65" i="7" l="1"/>
  <c r="F66" i="7"/>
  <c r="F16" i="7"/>
  <c r="F17" i="7"/>
  <c r="F18" i="7"/>
  <c r="F22" i="7"/>
  <c r="F23" i="7"/>
  <c r="F33" i="7"/>
  <c r="F38" i="7"/>
  <c r="F40" i="7"/>
  <c r="F42" i="7"/>
  <c r="F43" i="7"/>
  <c r="F45" i="7"/>
  <c r="F50" i="7"/>
  <c r="F51" i="7"/>
  <c r="F55" i="7"/>
  <c r="F59" i="7"/>
  <c r="F63" i="7"/>
  <c r="F68" i="7"/>
  <c r="F73" i="7"/>
  <c r="F77" i="7"/>
  <c r="F88" i="7"/>
  <c r="F95" i="7"/>
  <c r="F96" i="7"/>
  <c r="F101" i="7"/>
  <c r="F107" i="7"/>
  <c r="F108" i="7"/>
  <c r="F109" i="7"/>
  <c r="F111" i="7"/>
  <c r="F114" i="7"/>
  <c r="F116" i="7"/>
  <c r="F118" i="7"/>
  <c r="F120" i="7"/>
  <c r="F121" i="7"/>
  <c r="F123" i="7"/>
  <c r="F127" i="7"/>
  <c r="F125" i="7"/>
  <c r="F129" i="7"/>
  <c r="F133" i="7"/>
  <c r="F134" i="7"/>
  <c r="F135" i="7"/>
  <c r="F137" i="7"/>
  <c r="F145" i="7"/>
  <c r="F147" i="7"/>
  <c r="F149" i="7"/>
  <c r="F152" i="7"/>
  <c r="F153" i="7"/>
  <c r="F155" i="7"/>
  <c r="F157" i="7"/>
  <c r="F158" i="7"/>
  <c r="F160" i="7"/>
  <c r="F163" i="7"/>
  <c r="F165" i="7"/>
  <c r="F173" i="7"/>
  <c r="F175" i="7"/>
  <c r="F192" i="7"/>
  <c r="F194" i="7"/>
  <c r="F197" i="7"/>
  <c r="F199" i="7"/>
  <c r="F200" i="7"/>
  <c r="F202" i="7"/>
  <c r="F205" i="7"/>
  <c r="F207" i="7"/>
  <c r="F209" i="7"/>
  <c r="F213" i="7"/>
  <c r="F216" i="7"/>
  <c r="F218" i="7"/>
  <c r="F219" i="7"/>
  <c r="F227" i="7"/>
  <c r="F230" i="7"/>
  <c r="F232" i="7"/>
  <c r="F235" i="7"/>
  <c r="F236" i="7"/>
  <c r="F238" i="7"/>
  <c r="F240" i="7"/>
  <c r="F242" i="7"/>
  <c r="F249" i="7"/>
  <c r="F252" i="7"/>
  <c r="F254" i="7"/>
  <c r="F257" i="7"/>
  <c r="F258" i="7"/>
  <c r="F260" i="7"/>
  <c r="F262" i="7"/>
  <c r="F263" i="7"/>
  <c r="F297" i="7"/>
  <c r="E227" i="7"/>
  <c r="E16" i="7"/>
  <c r="E17" i="7"/>
  <c r="E22" i="7"/>
  <c r="E23" i="7"/>
  <c r="E25" i="7"/>
  <c r="E26" i="7"/>
  <c r="E28" i="7"/>
  <c r="E33" i="7"/>
  <c r="E38" i="7"/>
  <c r="E39" i="7"/>
  <c r="E40" i="7"/>
  <c r="E42" i="7"/>
  <c r="E43" i="7"/>
  <c r="E46" i="7"/>
  <c r="E50" i="7"/>
  <c r="E51" i="7"/>
  <c r="E55" i="7"/>
  <c r="E70" i="7"/>
  <c r="E71" i="7"/>
  <c r="E73" i="7"/>
  <c r="E77" i="7"/>
  <c r="E85" i="7"/>
  <c r="E86" i="7"/>
  <c r="E88" i="7"/>
  <c r="E95" i="7"/>
  <c r="E96" i="7"/>
  <c r="E101" i="7"/>
  <c r="E107" i="7"/>
  <c r="E108" i="7"/>
  <c r="E111" i="7"/>
  <c r="E116" i="7"/>
  <c r="E118" i="7"/>
  <c r="E120" i="7"/>
  <c r="E121" i="7"/>
  <c r="E123" i="7"/>
  <c r="E125" i="7"/>
  <c r="E127" i="7"/>
  <c r="E129" i="7"/>
  <c r="E133" i="7"/>
  <c r="E134" i="7"/>
  <c r="E135" i="7"/>
  <c r="E137" i="7"/>
  <c r="E168" i="7"/>
  <c r="E171" i="7"/>
  <c r="E184" i="7"/>
  <c r="E185" i="7"/>
  <c r="E187" i="7"/>
  <c r="E194" i="7"/>
  <c r="E199" i="7"/>
  <c r="E200" i="7"/>
  <c r="E202" i="7"/>
  <c r="E203" i="7"/>
  <c r="E205" i="7"/>
  <c r="E207" i="7"/>
  <c r="E211" i="7"/>
  <c r="E213" i="7"/>
  <c r="E218" i="7"/>
  <c r="E228" i="7"/>
  <c r="E230" i="7"/>
  <c r="E246" i="7"/>
  <c r="E257" i="7"/>
  <c r="E258" i="7"/>
  <c r="E262" i="7"/>
  <c r="E263" i="7"/>
  <c r="F268" i="7"/>
  <c r="F269" i="7"/>
  <c r="E268" i="7"/>
  <c r="E269" i="7"/>
  <c r="F271" i="7"/>
  <c r="E271" i="7"/>
  <c r="F272" i="7"/>
  <c r="E272" i="7"/>
  <c r="F273" i="7"/>
  <c r="E273" i="7"/>
  <c r="F275" i="7"/>
  <c r="E275" i="7"/>
  <c r="F279" i="7"/>
  <c r="F281" i="7"/>
  <c r="E281" i="7"/>
  <c r="F285" i="7"/>
  <c r="F287" i="7"/>
  <c r="E287" i="7"/>
  <c r="F290" i="7"/>
  <c r="F292" i="7"/>
  <c r="E292" i="7"/>
  <c r="E297" i="7"/>
  <c r="E298" i="7"/>
  <c r="F298" i="7"/>
  <c r="E300" i="7"/>
  <c r="F300" i="7"/>
  <c r="F301" i="7"/>
  <c r="E301" i="7"/>
  <c r="F304" i="7"/>
  <c r="F306" i="7"/>
  <c r="E306" i="7"/>
  <c r="F311" i="7"/>
  <c r="F313" i="7"/>
  <c r="E313" i="7"/>
  <c r="F317" i="7"/>
  <c r="F319" i="7"/>
  <c r="E319" i="7"/>
  <c r="F322" i="7"/>
  <c r="F324" i="7"/>
  <c r="F326" i="7"/>
  <c r="F338" i="7"/>
  <c r="F334" i="7"/>
  <c r="F337" i="7"/>
  <c r="F340" i="7"/>
  <c r="F342" i="7"/>
  <c r="F344" i="7"/>
  <c r="F347" i="7"/>
  <c r="F350" i="7"/>
  <c r="F352" i="7"/>
  <c r="F355" i="7"/>
  <c r="F353" i="7"/>
  <c r="F357" i="7"/>
  <c r="F360" i="7"/>
  <c r="F362" i="7"/>
  <c r="F361" i="7" s="1"/>
  <c r="F359" i="7" s="1"/>
  <c r="F366" i="7"/>
  <c r="F368" i="7"/>
  <c r="F367" i="7" s="1"/>
  <c r="F365" i="7" s="1"/>
  <c r="F370" i="7"/>
  <c r="F372" i="7"/>
  <c r="F371" i="7" s="1"/>
  <c r="F369" i="7" s="1"/>
  <c r="F376" i="7"/>
  <c r="F378" i="7"/>
  <c r="F377" i="7" s="1"/>
  <c r="F375" i="7" s="1"/>
  <c r="F374" i="7" s="1"/>
  <c r="F373" i="7" s="1"/>
  <c r="E324" i="7"/>
  <c r="E330" i="7"/>
  <c r="E335" i="7"/>
  <c r="E334" i="7"/>
  <c r="E338" i="7"/>
  <c r="E342" i="7"/>
  <c r="E350" i="7"/>
  <c r="E344" i="7"/>
  <c r="E345" i="7"/>
  <c r="E347" i="7"/>
  <c r="E348" i="7"/>
  <c r="E352" i="7"/>
  <c r="E368" i="7"/>
  <c r="E372" i="7"/>
  <c r="E378" i="7"/>
  <c r="G377" i="7"/>
  <c r="G375" i="7" s="1"/>
  <c r="G374" i="7" s="1"/>
  <c r="G373" i="7" s="1"/>
  <c r="H377" i="7"/>
  <c r="H375" i="7" s="1"/>
  <c r="H374" i="7" s="1"/>
  <c r="H373" i="7" s="1"/>
  <c r="I377" i="7"/>
  <c r="I375" i="7" s="1"/>
  <c r="I374" i="7" s="1"/>
  <c r="I373" i="7" s="1"/>
  <c r="G371" i="7"/>
  <c r="G369" i="7" s="1"/>
  <c r="H371" i="7"/>
  <c r="H369" i="7" s="1"/>
  <c r="I371" i="7"/>
  <c r="I369" i="7" s="1"/>
  <c r="G367" i="7"/>
  <c r="G365" i="7" s="1"/>
  <c r="H367" i="7"/>
  <c r="H365" i="7" s="1"/>
  <c r="I367" i="7"/>
  <c r="I365" i="7" s="1"/>
  <c r="G364" i="7" l="1"/>
  <c r="F299" i="7"/>
  <c r="F296" i="7" s="1"/>
  <c r="F364" i="7"/>
  <c r="H364" i="7"/>
  <c r="I364" i="7"/>
  <c r="F356" i="7" l="1"/>
  <c r="F354" i="7" s="1"/>
  <c r="I356" i="7"/>
  <c r="I354" i="7" s="1"/>
  <c r="H356" i="7"/>
  <c r="H354" i="7" s="1"/>
  <c r="G356" i="7"/>
  <c r="G354" i="7" s="1"/>
  <c r="E354" i="7"/>
  <c r="G351" i="7"/>
  <c r="G349" i="7" s="1"/>
  <c r="H351" i="7"/>
  <c r="H349" i="7" s="1"/>
  <c r="I351" i="7"/>
  <c r="I349" i="7" s="1"/>
  <c r="F346" i="7"/>
  <c r="F343" i="7" s="1"/>
  <c r="G346" i="7"/>
  <c r="G343" i="7" s="1"/>
  <c r="H346" i="7"/>
  <c r="H343" i="7" s="1"/>
  <c r="I346" i="7"/>
  <c r="I343" i="7" s="1"/>
  <c r="F341" i="7"/>
  <c r="F339" i="7" s="1"/>
  <c r="G341" i="7"/>
  <c r="G339" i="7" s="1"/>
  <c r="H341" i="7"/>
  <c r="H339" i="7" s="1"/>
  <c r="I341" i="7"/>
  <c r="I339" i="7" s="1"/>
  <c r="G333" i="7"/>
  <c r="H333" i="7"/>
  <c r="I333" i="7"/>
  <c r="F325" i="7"/>
  <c r="F323" i="7"/>
  <c r="G323" i="7"/>
  <c r="G321" i="7" s="1"/>
  <c r="G320" i="7" s="1"/>
  <c r="H323" i="7"/>
  <c r="H321" i="7" s="1"/>
  <c r="H320" i="7" s="1"/>
  <c r="I323" i="7"/>
  <c r="I321" i="7" s="1"/>
  <c r="I320" i="7" s="1"/>
  <c r="F318" i="7"/>
  <c r="F315" i="7" s="1"/>
  <c r="F314" i="7" s="1"/>
  <c r="G318" i="7"/>
  <c r="G315" i="7" s="1"/>
  <c r="G314" i="7" s="1"/>
  <c r="H318" i="7"/>
  <c r="H315" i="7" s="1"/>
  <c r="H314" i="7" s="1"/>
  <c r="I318" i="7"/>
  <c r="I315" i="7" s="1"/>
  <c r="I314" i="7" s="1"/>
  <c r="F312" i="7"/>
  <c r="F309" i="7" s="1"/>
  <c r="F308" i="7" s="1"/>
  <c r="G312" i="7"/>
  <c r="G309" i="7" s="1"/>
  <c r="G308" i="7" s="1"/>
  <c r="H312" i="7"/>
  <c r="H309" i="7" s="1"/>
  <c r="H308" i="7" s="1"/>
  <c r="I312" i="7"/>
  <c r="I309" i="7" s="1"/>
  <c r="I308" i="7" s="1"/>
  <c r="F305" i="7"/>
  <c r="F303" i="7" s="1"/>
  <c r="F302" i="7" s="1"/>
  <c r="G305" i="7"/>
  <c r="G303" i="7" s="1"/>
  <c r="G302" i="7" s="1"/>
  <c r="H305" i="7"/>
  <c r="H303" i="7" s="1"/>
  <c r="H302" i="7" s="1"/>
  <c r="I305" i="7"/>
  <c r="I303" i="7" s="1"/>
  <c r="I302" i="7" s="1"/>
  <c r="G299" i="7"/>
  <c r="H299" i="7"/>
  <c r="I299" i="7"/>
  <c r="G332" i="7" l="1"/>
  <c r="G331" i="7" s="1"/>
  <c r="F351" i="7"/>
  <c r="F349" i="7" s="1"/>
  <c r="H332" i="7"/>
  <c r="H331" i="7" s="1"/>
  <c r="F321" i="7"/>
  <c r="F320" i="7" s="1"/>
  <c r="F307" i="7" s="1"/>
  <c r="F336" i="7"/>
  <c r="F333" i="7" s="1"/>
  <c r="I332" i="7"/>
  <c r="I331" i="7" s="1"/>
  <c r="G307" i="7"/>
  <c r="I307" i="7"/>
  <c r="H307" i="7"/>
  <c r="F295" i="7"/>
  <c r="F293" i="7" s="1"/>
  <c r="G296" i="7"/>
  <c r="H296" i="7"/>
  <c r="I296" i="7"/>
  <c r="F291" i="7"/>
  <c r="F289" i="7" s="1"/>
  <c r="F288" i="7" s="1"/>
  <c r="G291" i="7"/>
  <c r="G289" i="7" s="1"/>
  <c r="G288" i="7" s="1"/>
  <c r="H291" i="7"/>
  <c r="H289" i="7" s="1"/>
  <c r="H288" i="7" s="1"/>
  <c r="I291" i="7"/>
  <c r="I289" i="7" s="1"/>
  <c r="I288" i="7" s="1"/>
  <c r="G286" i="7"/>
  <c r="G283" i="7" s="1"/>
  <c r="G282" i="7" s="1"/>
  <c r="H286" i="7"/>
  <c r="H283" i="7" s="1"/>
  <c r="H282" i="7" s="1"/>
  <c r="I286" i="7"/>
  <c r="I283" i="7" s="1"/>
  <c r="I282" i="7" s="1"/>
  <c r="F286" i="7"/>
  <c r="F283" i="7" s="1"/>
  <c r="F282" i="7" s="1"/>
  <c r="G280" i="7"/>
  <c r="G277" i="7" s="1"/>
  <c r="G276" i="7" s="1"/>
  <c r="H280" i="7"/>
  <c r="H277" i="7" s="1"/>
  <c r="H276" i="7" s="1"/>
  <c r="I280" i="7"/>
  <c r="I277" i="7" s="1"/>
  <c r="I276" i="7" s="1"/>
  <c r="F280" i="7"/>
  <c r="F277" i="7" s="1"/>
  <c r="F276" i="7" s="1"/>
  <c r="G270" i="7"/>
  <c r="H270" i="7"/>
  <c r="I270" i="7"/>
  <c r="G274" i="7"/>
  <c r="H274" i="7"/>
  <c r="I274" i="7"/>
  <c r="F274" i="7"/>
  <c r="G259" i="7"/>
  <c r="H259" i="7"/>
  <c r="I259" i="7"/>
  <c r="G261" i="7"/>
  <c r="H261" i="7"/>
  <c r="I261" i="7"/>
  <c r="F261" i="7"/>
  <c r="F259" i="7"/>
  <c r="F253" i="7"/>
  <c r="F251" i="7"/>
  <c r="F241" i="7"/>
  <c r="F239" i="7" s="1"/>
  <c r="F237" i="7"/>
  <c r="F234" i="7" s="1"/>
  <c r="F231" i="7"/>
  <c r="F229" i="7"/>
  <c r="G229" i="7"/>
  <c r="G225" i="7" s="1"/>
  <c r="H229" i="7"/>
  <c r="H225" i="7" s="1"/>
  <c r="H220" i="7" s="1"/>
  <c r="I229" i="7"/>
  <c r="I225" i="7" s="1"/>
  <c r="I220" i="7" s="1"/>
  <c r="G217" i="7"/>
  <c r="G215" i="7" s="1"/>
  <c r="G214" i="7" s="1"/>
  <c r="H217" i="7"/>
  <c r="H215" i="7" s="1"/>
  <c r="H214" i="7" s="1"/>
  <c r="I217" i="7"/>
  <c r="I215" i="7" s="1"/>
  <c r="I214" i="7" s="1"/>
  <c r="F212" i="7"/>
  <c r="H212" i="7"/>
  <c r="I212" i="7"/>
  <c r="F210" i="7"/>
  <c r="G210" i="7"/>
  <c r="G208" i="7" s="1"/>
  <c r="H210" i="7"/>
  <c r="I210" i="7"/>
  <c r="F206" i="7"/>
  <c r="G206" i="7"/>
  <c r="H206" i="7"/>
  <c r="I206" i="7"/>
  <c r="F204" i="7"/>
  <c r="G204" i="7"/>
  <c r="H204" i="7"/>
  <c r="I204" i="7"/>
  <c r="G198" i="7"/>
  <c r="G196" i="7" s="1"/>
  <c r="H198" i="7"/>
  <c r="H196" i="7" s="1"/>
  <c r="I198" i="7"/>
  <c r="I196" i="7" s="1"/>
  <c r="F193" i="7"/>
  <c r="G193" i="7"/>
  <c r="G190" i="7" s="1"/>
  <c r="G188" i="7" s="1"/>
  <c r="H193" i="7"/>
  <c r="H190" i="7" s="1"/>
  <c r="H188" i="7" s="1"/>
  <c r="I193" i="7"/>
  <c r="I190" i="7" s="1"/>
  <c r="I188" i="7" s="1"/>
  <c r="F190" i="7"/>
  <c r="F188" i="7" s="1"/>
  <c r="F174" i="7"/>
  <c r="F172" i="7" s="1"/>
  <c r="F164" i="7"/>
  <c r="F161" i="7" s="1"/>
  <c r="F159" i="7"/>
  <c r="F156" i="7" s="1"/>
  <c r="F154" i="7"/>
  <c r="F151" i="7" s="1"/>
  <c r="F148" i="7"/>
  <c r="F144" i="7" s="1"/>
  <c r="F136" i="7"/>
  <c r="F131" i="7" s="1"/>
  <c r="G136" i="7"/>
  <c r="G131" i="7" s="1"/>
  <c r="G130" i="7" s="1"/>
  <c r="H136" i="7"/>
  <c r="H131" i="7" s="1"/>
  <c r="I136" i="7"/>
  <c r="I131" i="7" s="1"/>
  <c r="I130" i="7" s="1"/>
  <c r="F128" i="7"/>
  <c r="F124" i="7" s="1"/>
  <c r="G128" i="7"/>
  <c r="G124" i="7" s="1"/>
  <c r="G125" i="7" s="1"/>
  <c r="H128" i="7"/>
  <c r="H124" i="7" s="1"/>
  <c r="H125" i="7" s="1"/>
  <c r="I128" i="7"/>
  <c r="I124" i="7" s="1"/>
  <c r="F122" i="7"/>
  <c r="F119" i="7" s="1"/>
  <c r="G122" i="7"/>
  <c r="G119" i="7" s="1"/>
  <c r="G121" i="7" s="1"/>
  <c r="H122" i="7"/>
  <c r="H119" i="7" s="1"/>
  <c r="H121" i="7" s="1"/>
  <c r="I122" i="7"/>
  <c r="I119" i="7" s="1"/>
  <c r="I121" i="7" s="1"/>
  <c r="F117" i="7"/>
  <c r="F115" i="7"/>
  <c r="G117" i="7"/>
  <c r="H117" i="7"/>
  <c r="I117" i="7"/>
  <c r="G115" i="7"/>
  <c r="H115" i="7"/>
  <c r="I115" i="7"/>
  <c r="F110" i="7"/>
  <c r="F105" i="7" s="1"/>
  <c r="G110" i="7"/>
  <c r="G105" i="7" s="1"/>
  <c r="G108" i="7" s="1"/>
  <c r="H110" i="7"/>
  <c r="H105" i="7" s="1"/>
  <c r="H108" i="7" s="1"/>
  <c r="I110" i="7"/>
  <c r="I105" i="7" s="1"/>
  <c r="F100" i="7"/>
  <c r="F99" i="7" s="1"/>
  <c r="F98" i="7" s="1"/>
  <c r="F97" i="7" s="1"/>
  <c r="G100" i="7"/>
  <c r="G99" i="7" s="1"/>
  <c r="G98" i="7" s="1"/>
  <c r="G97" i="7" s="1"/>
  <c r="H100" i="7"/>
  <c r="H99" i="7" s="1"/>
  <c r="H98" i="7" s="1"/>
  <c r="H97" i="7" s="1"/>
  <c r="I100" i="7"/>
  <c r="I99" i="7" s="1"/>
  <c r="I98" i="7" s="1"/>
  <c r="I97" i="7" s="1"/>
  <c r="G94" i="7"/>
  <c r="G93" i="7" s="1"/>
  <c r="G91" i="7" s="1"/>
  <c r="G90" i="7" s="1"/>
  <c r="H94" i="7"/>
  <c r="H93" i="7" s="1"/>
  <c r="H91" i="7" s="1"/>
  <c r="H90" i="7" s="1"/>
  <c r="I94" i="7"/>
  <c r="I93" i="7" s="1"/>
  <c r="I91" i="7" s="1"/>
  <c r="I90" i="7" s="1"/>
  <c r="F87" i="7"/>
  <c r="F85" i="7" s="1"/>
  <c r="G87" i="7"/>
  <c r="H87" i="7"/>
  <c r="I87" i="7"/>
  <c r="G84" i="7"/>
  <c r="G83" i="7" s="1"/>
  <c r="H84" i="7"/>
  <c r="H83" i="7" s="1"/>
  <c r="I84" i="7"/>
  <c r="I83" i="7" s="1"/>
  <c r="G76" i="7"/>
  <c r="G74" i="7" s="1"/>
  <c r="H76" i="7"/>
  <c r="H74" i="7" s="1"/>
  <c r="I76" i="7"/>
  <c r="I74" i="7" s="1"/>
  <c r="F76" i="7"/>
  <c r="F75" i="7" s="1"/>
  <c r="F74" i="7" s="1"/>
  <c r="G72" i="7"/>
  <c r="G69" i="7" s="1"/>
  <c r="G71" i="7" s="1"/>
  <c r="H72" i="7"/>
  <c r="H69" i="7" s="1"/>
  <c r="H71" i="7" s="1"/>
  <c r="I72" i="7"/>
  <c r="I69" i="7" s="1"/>
  <c r="F72" i="7"/>
  <c r="F69" i="7" s="1"/>
  <c r="F71" i="7" s="1"/>
  <c r="F67" i="7"/>
  <c r="F64" i="7" s="1"/>
  <c r="F62" i="7"/>
  <c r="F60" i="7" s="1"/>
  <c r="F58" i="7"/>
  <c r="F56" i="7" s="1"/>
  <c r="G54" i="7"/>
  <c r="G52" i="7" s="1"/>
  <c r="H54" i="7"/>
  <c r="H52" i="7" s="1"/>
  <c r="I54" i="7"/>
  <c r="I52" i="7" s="1"/>
  <c r="F54" i="7"/>
  <c r="F53" i="7" s="1"/>
  <c r="F52" i="7" s="1"/>
  <c r="I49" i="7"/>
  <c r="I47" i="7" s="1"/>
  <c r="G49" i="7"/>
  <c r="G47" i="7" s="1"/>
  <c r="H49" i="7"/>
  <c r="H48" i="7" s="1"/>
  <c r="F44" i="7"/>
  <c r="G44" i="7"/>
  <c r="H44" i="7"/>
  <c r="I44" i="7"/>
  <c r="F41" i="7"/>
  <c r="G41" i="7"/>
  <c r="H41" i="7"/>
  <c r="I41" i="7"/>
  <c r="G32" i="7"/>
  <c r="G31" i="7" s="1"/>
  <c r="G30" i="7" s="1"/>
  <c r="G29" i="7" s="1"/>
  <c r="H32" i="7"/>
  <c r="H31" i="7" s="1"/>
  <c r="H30" i="7" s="1"/>
  <c r="H29" i="7" s="1"/>
  <c r="I32" i="7"/>
  <c r="I31" i="7" s="1"/>
  <c r="I30" i="7" s="1"/>
  <c r="I29" i="7" s="1"/>
  <c r="F32" i="7"/>
  <c r="F31" i="7" s="1"/>
  <c r="F30" i="7" s="1"/>
  <c r="F29" i="7" s="1"/>
  <c r="G20" i="7"/>
  <c r="G19" i="7" s="1"/>
  <c r="H21" i="7"/>
  <c r="H20" i="7" s="1"/>
  <c r="H19" i="7" s="1"/>
  <c r="I21" i="7"/>
  <c r="I20" i="7" s="1"/>
  <c r="I19" i="7" s="1"/>
  <c r="G15" i="7"/>
  <c r="G13" i="7" s="1"/>
  <c r="H13" i="7"/>
  <c r="I13" i="7"/>
  <c r="E377" i="7"/>
  <c r="E371" i="7"/>
  <c r="E367" i="7"/>
  <c r="E341" i="7"/>
  <c r="E336" i="7"/>
  <c r="E333" i="7" s="1"/>
  <c r="E329" i="7"/>
  <c r="E327" i="7" s="1"/>
  <c r="E328" i="7" s="1"/>
  <c r="E323" i="7"/>
  <c r="E321" i="7" s="1"/>
  <c r="E322" i="7" s="1"/>
  <c r="E318" i="7"/>
  <c r="E315" i="7" s="1"/>
  <c r="E314" i="7" s="1"/>
  <c r="E312" i="7"/>
  <c r="E305" i="7"/>
  <c r="H130" i="7" l="1"/>
  <c r="H134" i="7"/>
  <c r="H295" i="7"/>
  <c r="H293" i="7" s="1"/>
  <c r="H297" i="7"/>
  <c r="G220" i="7"/>
  <c r="G227" i="7"/>
  <c r="G295" i="7"/>
  <c r="G293" i="7" s="1"/>
  <c r="G297" i="7"/>
  <c r="I295" i="7"/>
  <c r="I293" i="7" s="1"/>
  <c r="I297" i="7"/>
  <c r="H208" i="7"/>
  <c r="I255" i="7"/>
  <c r="I247" i="7" s="1"/>
  <c r="H255" i="7"/>
  <c r="H247" i="7" s="1"/>
  <c r="I12" i="7"/>
  <c r="I11" i="7" s="1"/>
  <c r="I10" i="7" s="1"/>
  <c r="I37" i="7"/>
  <c r="H12" i="7"/>
  <c r="G255" i="7"/>
  <c r="G247" i="7" s="1"/>
  <c r="G37" i="7"/>
  <c r="G36" i="7" s="1"/>
  <c r="E366" i="7"/>
  <c r="E365" i="7"/>
  <c r="F332" i="7"/>
  <c r="F331" i="7" s="1"/>
  <c r="G201" i="7"/>
  <c r="G195" i="7" s="1"/>
  <c r="E351" i="7"/>
  <c r="E349" i="7" s="1"/>
  <c r="H201" i="7"/>
  <c r="H266" i="7"/>
  <c r="I266" i="7"/>
  <c r="F270" i="7"/>
  <c r="F266" i="7" s="1"/>
  <c r="F265" i="7" s="1"/>
  <c r="F264" i="7" s="1"/>
  <c r="F248" i="7"/>
  <c r="G266" i="7"/>
  <c r="F255" i="7"/>
  <c r="E311" i="7"/>
  <c r="E309" i="7"/>
  <c r="H37" i="7"/>
  <c r="F225" i="7"/>
  <c r="F220" i="7" s="1"/>
  <c r="F217" i="7"/>
  <c r="F215" i="7" s="1"/>
  <c r="F214" i="7" s="1"/>
  <c r="F130" i="7"/>
  <c r="F208" i="7"/>
  <c r="I208" i="7"/>
  <c r="F201" i="7"/>
  <c r="I201" i="7"/>
  <c r="F198" i="7"/>
  <c r="F196" i="7" s="1"/>
  <c r="H112" i="7"/>
  <c r="H104" i="7" s="1"/>
  <c r="G112" i="7"/>
  <c r="G104" i="7" s="1"/>
  <c r="F112" i="7"/>
  <c r="F104" i="7" s="1"/>
  <c r="I112" i="7"/>
  <c r="I104" i="7" s="1"/>
  <c r="F94" i="7"/>
  <c r="F93" i="7" s="1"/>
  <c r="F91" i="7" s="1"/>
  <c r="F90" i="7" s="1"/>
  <c r="F89" i="7" s="1"/>
  <c r="G89" i="7"/>
  <c r="H89" i="7"/>
  <c r="I89" i="7"/>
  <c r="F84" i="7"/>
  <c r="F83" i="7" s="1"/>
  <c r="F61" i="7"/>
  <c r="F57" i="7"/>
  <c r="H14" i="7"/>
  <c r="G35" i="7"/>
  <c r="F21" i="7"/>
  <c r="F20" i="7" s="1"/>
  <c r="F19" i="7" s="1"/>
  <c r="H11" i="7"/>
  <c r="H10" i="7" s="1"/>
  <c r="H47" i="7"/>
  <c r="F49" i="7"/>
  <c r="F47" i="7" s="1"/>
  <c r="G48" i="7"/>
  <c r="F15" i="7"/>
  <c r="F13" i="7" s="1"/>
  <c r="I48" i="7"/>
  <c r="F37" i="7"/>
  <c r="G12" i="7"/>
  <c r="G11" i="7" s="1"/>
  <c r="G10" i="7" s="1"/>
  <c r="G14" i="7"/>
  <c r="E346" i="7"/>
  <c r="E343" i="7" s="1"/>
  <c r="I14" i="7"/>
  <c r="E375" i="7"/>
  <c r="E374" i="7" s="1"/>
  <c r="E373" i="7" s="1"/>
  <c r="E376" i="7"/>
  <c r="E369" i="7"/>
  <c r="E370" i="7"/>
  <c r="E339" i="7"/>
  <c r="E340" i="7"/>
  <c r="E320" i="7"/>
  <c r="E317" i="7"/>
  <c r="E303" i="7"/>
  <c r="E302" i="7" s="1"/>
  <c r="E304" i="7"/>
  <c r="E299" i="7"/>
  <c r="E296" i="7" s="1"/>
  <c r="E295" i="7" s="1"/>
  <c r="E291" i="7"/>
  <c r="E289" i="7" s="1"/>
  <c r="E286" i="7"/>
  <c r="E283" i="7" s="1"/>
  <c r="E280" i="7"/>
  <c r="E277" i="7" s="1"/>
  <c r="E274" i="7"/>
  <c r="I265" i="7" l="1"/>
  <c r="I264" i="7" s="1"/>
  <c r="I269" i="7"/>
  <c r="H265" i="7"/>
  <c r="H264" i="7" s="1"/>
  <c r="H269" i="7"/>
  <c r="G265" i="7"/>
  <c r="G264" i="7" s="1"/>
  <c r="G269" i="7"/>
  <c r="H195" i="7"/>
  <c r="H102" i="7" s="1"/>
  <c r="H36" i="7"/>
  <c r="H35" i="7" s="1"/>
  <c r="I36" i="7"/>
  <c r="I35" i="7" s="1"/>
  <c r="I195" i="7"/>
  <c r="I102" i="7" s="1"/>
  <c r="E364" i="7"/>
  <c r="F247" i="7"/>
  <c r="E308" i="7"/>
  <c r="E307" i="7" s="1"/>
  <c r="G102" i="7"/>
  <c r="F195" i="7"/>
  <c r="F36" i="7"/>
  <c r="F35" i="7" s="1"/>
  <c r="F12" i="7"/>
  <c r="F11" i="7" s="1"/>
  <c r="F10" i="7" s="1"/>
  <c r="F14" i="7"/>
  <c r="F48" i="7"/>
  <c r="E332" i="7"/>
  <c r="E293" i="7"/>
  <c r="E288" i="7"/>
  <c r="E290" i="7"/>
  <c r="E270" i="7"/>
  <c r="E266" i="7" s="1"/>
  <c r="E265" i="7" s="1"/>
  <c r="E282" i="7"/>
  <c r="E285" i="7"/>
  <c r="E276" i="7"/>
  <c r="E279" i="7"/>
  <c r="E261" i="7"/>
  <c r="E255" i="7" s="1"/>
  <c r="E247" i="7" s="1"/>
  <c r="G34" i="7" l="1"/>
  <c r="G9" i="7" s="1"/>
  <c r="H34" i="7"/>
  <c r="H9" i="7" s="1"/>
  <c r="I34" i="7"/>
  <c r="I9" i="7" s="1"/>
  <c r="E331" i="7"/>
  <c r="F102" i="7"/>
  <c r="F34" i="7" s="1"/>
  <c r="F9" i="7" s="1"/>
  <c r="E264" i="7"/>
  <c r="E245" i="7" l="1"/>
  <c r="E243" i="7" s="1"/>
  <c r="E244" i="7" s="1"/>
  <c r="E229" i="7"/>
  <c r="E225" i="7" s="1"/>
  <c r="E217" i="7"/>
  <c r="E210" i="7"/>
  <c r="E212" i="7"/>
  <c r="E206" i="7"/>
  <c r="E204" i="7"/>
  <c r="E193" i="7"/>
  <c r="E192" i="7" s="1"/>
  <c r="E190" i="7" s="1"/>
  <c r="E188" i="7" s="1"/>
  <c r="E186" i="7"/>
  <c r="E182" i="7" s="1"/>
  <c r="E170" i="7"/>
  <c r="E166" i="7" s="1"/>
  <c r="E136" i="7"/>
  <c r="E131" i="7" s="1"/>
  <c r="E128" i="7"/>
  <c r="E124" i="7" s="1"/>
  <c r="E122" i="7"/>
  <c r="E119" i="7" s="1"/>
  <c r="E117" i="7"/>
  <c r="E115" i="7"/>
  <c r="E110" i="7"/>
  <c r="E105" i="7" s="1"/>
  <c r="E100" i="7"/>
  <c r="E99" i="7" s="1"/>
  <c r="E98" i="7" s="1"/>
  <c r="E97" i="7" s="1"/>
  <c r="E84" i="7"/>
  <c r="E83" i="7" s="1"/>
  <c r="E87" i="7"/>
  <c r="E76" i="7"/>
  <c r="E75" i="7" s="1"/>
  <c r="E74" i="7" s="1"/>
  <c r="E72" i="7"/>
  <c r="E69" i="7" s="1"/>
  <c r="E54" i="7"/>
  <c r="E53" i="7" s="1"/>
  <c r="E52" i="7" s="1"/>
  <c r="E49" i="7"/>
  <c r="E48" i="7" s="1"/>
  <c r="E44" i="7"/>
  <c r="E32" i="7"/>
  <c r="E31" i="7" s="1"/>
  <c r="E30" i="7" s="1"/>
  <c r="E29" i="7" s="1"/>
  <c r="E27" i="7"/>
  <c r="E24" i="7" s="1"/>
  <c r="E18" i="7"/>
  <c r="E41" i="7" l="1"/>
  <c r="E37" i="7" s="1"/>
  <c r="E220" i="7"/>
  <c r="E208" i="7"/>
  <c r="E209" i="7" s="1"/>
  <c r="E216" i="7"/>
  <c r="E215" i="7"/>
  <c r="E214" i="7" s="1"/>
  <c r="E201" i="7"/>
  <c r="E198" i="7"/>
  <c r="E196" i="7" s="1"/>
  <c r="E130" i="7"/>
  <c r="E112" i="7"/>
  <c r="E113" i="7" s="1"/>
  <c r="E94" i="7"/>
  <c r="E93" i="7" s="1"/>
  <c r="E91" i="7" s="1"/>
  <c r="E90" i="7" s="1"/>
  <c r="E89" i="7" s="1"/>
  <c r="E15" i="7"/>
  <c r="E13" i="7" s="1"/>
  <c r="E47" i="7"/>
  <c r="E21" i="7"/>
  <c r="E20" i="7" s="1"/>
  <c r="E19" i="7" s="1"/>
  <c r="E197" i="7" l="1"/>
  <c r="E195" i="7"/>
  <c r="E104" i="7"/>
  <c r="E12" i="7"/>
  <c r="E11" i="7" s="1"/>
  <c r="E10" i="7" s="1"/>
  <c r="E14" i="7"/>
  <c r="E36" i="7"/>
  <c r="E35" i="7" s="1"/>
  <c r="E102" i="7" l="1"/>
  <c r="E34" i="7" s="1"/>
  <c r="E9" i="7" s="1"/>
  <c r="C10" i="5"/>
  <c r="C12" i="5"/>
  <c r="C13" i="5"/>
  <c r="C14" i="5"/>
  <c r="C17" i="5"/>
  <c r="C15" i="5"/>
  <c r="C16" i="5"/>
  <c r="C19" i="5"/>
  <c r="C20" i="5"/>
  <c r="C21" i="5"/>
  <c r="C22" i="5"/>
  <c r="C23" i="5"/>
  <c r="D9" i="5"/>
  <c r="F9" i="5"/>
  <c r="E9" i="5"/>
  <c r="B10" i="5"/>
  <c r="B12" i="5"/>
  <c r="B13" i="5"/>
  <c r="B14" i="5"/>
  <c r="B15" i="5"/>
  <c r="B17" i="5"/>
  <c r="B18" i="5"/>
  <c r="B19" i="5"/>
  <c r="B20" i="5"/>
  <c r="B21" i="5"/>
  <c r="B22" i="5"/>
  <c r="B23" i="5"/>
  <c r="H79" i="3"/>
  <c r="I79" i="3"/>
  <c r="F36" i="3"/>
  <c r="F37" i="3" s="1"/>
  <c r="F18" i="3"/>
  <c r="F24" i="3"/>
  <c r="F25" i="3" s="1"/>
  <c r="F28" i="3"/>
  <c r="F29" i="3" s="1"/>
  <c r="F32" i="3"/>
  <c r="F33" i="3" s="1"/>
  <c r="E85" i="3"/>
  <c r="E86" i="3" s="1"/>
  <c r="E90" i="3"/>
  <c r="E91" i="3" s="1"/>
  <c r="E44" i="3"/>
  <c r="E45" i="3" s="1"/>
  <c r="E49" i="3"/>
  <c r="E54" i="3"/>
  <c r="E55" i="3" s="1"/>
  <c r="E59" i="3"/>
  <c r="E60" i="3" s="1"/>
  <c r="E64" i="3"/>
  <c r="E65" i="3" s="1"/>
  <c r="E69" i="3"/>
  <c r="E70" i="3" s="1"/>
  <c r="E74" i="3"/>
  <c r="E75" i="3" s="1"/>
  <c r="E17" i="3"/>
  <c r="E18" i="3" s="1"/>
  <c r="E20" i="3"/>
  <c r="E21" i="3" s="1"/>
  <c r="E24" i="3"/>
  <c r="E25" i="3" s="1"/>
  <c r="E28" i="3"/>
  <c r="E29" i="3" s="1"/>
  <c r="E32" i="3"/>
  <c r="E33" i="3" s="1"/>
  <c r="E36" i="3"/>
  <c r="G16" i="3"/>
  <c r="H16" i="3"/>
  <c r="I16" i="3"/>
  <c r="G35" i="3"/>
  <c r="H35" i="3"/>
  <c r="I35" i="3"/>
  <c r="F35" i="3" l="1"/>
  <c r="E35" i="3"/>
  <c r="E37" i="3"/>
  <c r="E79" i="3"/>
  <c r="C18" i="5"/>
  <c r="C9" i="5" s="1"/>
  <c r="B9" i="5"/>
  <c r="F16" i="3"/>
  <c r="E43" i="3"/>
  <c r="E16" i="3"/>
  <c r="I35" i="1" l="1"/>
  <c r="I34" i="1"/>
  <c r="I21" i="1"/>
  <c r="I20" i="1"/>
  <c r="I18" i="1"/>
  <c r="I17" i="1"/>
  <c r="G38" i="1"/>
  <c r="G35" i="1"/>
  <c r="G34" i="1"/>
  <c r="G21" i="1"/>
  <c r="G20" i="1"/>
  <c r="G18" i="1"/>
  <c r="G17" i="1"/>
  <c r="H19" i="1"/>
  <c r="J19" i="1"/>
  <c r="L19" i="1"/>
  <c r="F19" i="1"/>
  <c r="H16" i="1"/>
  <c r="J16" i="1"/>
  <c r="K16" i="1"/>
  <c r="L16" i="1"/>
  <c r="F16" i="1"/>
  <c r="I16" i="1" l="1"/>
  <c r="H22" i="1"/>
  <c r="F22" i="1"/>
  <c r="L22" i="1"/>
  <c r="J22" i="1"/>
  <c r="I19" i="1"/>
  <c r="I22" i="1" s="1"/>
  <c r="G19" i="1"/>
  <c r="G16" i="1"/>
  <c r="K19" i="1"/>
  <c r="K22" i="1" s="1"/>
  <c r="G22" i="1" l="1"/>
</calcChain>
</file>

<file path=xl/sharedStrings.xml><?xml version="1.0" encoding="utf-8"?>
<sst xmlns="http://schemas.openxmlformats.org/spreadsheetml/2006/main" count="599" uniqueCount="240">
  <si>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</si>
  <si>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</si>
  <si>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</si>
  <si>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</si>
  <si>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</si>
  <si>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</si>
  <si>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</si>
  <si>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</si>
  <si>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</si>
  <si>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</si>
  <si>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</si>
  <si>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</si>
  <si>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</si>
  <si>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</si>
  <si>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Proračun za 2023.</t>
  </si>
  <si>
    <t>Projekcija proračuna
za 2024.</t>
  </si>
  <si>
    <t>Projekcija proračuna
za 2025.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</si>
  <si>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</si>
  <si>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</si>
  <si>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</si>
  <si>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</si>
  <si>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</si>
  <si>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</si>
  <si>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poreza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</si>
  <si>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</si>
  <si>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</si>
  <si>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</si>
  <si>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</si>
  <si>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</si>
  <si>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</si>
  <si>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</si>
  <si>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</si>
  <si>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</si>
  <si>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</si>
  <si>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01 Opće javne usluge</t>
  </si>
  <si>
    <t>04 Ekonomski poslovi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</si>
  <si>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</si>
  <si>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</si>
  <si>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</si>
  <si>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</si>
  <si>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</si>
  <si>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</si>
  <si>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</si>
  <si>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</si>
  <si>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</si>
  <si>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</si>
  <si>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</si>
  <si>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</si>
  <si>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</si>
  <si>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A) SAŽETAK RAČUNA PRIHODA I RASHODA</t>
  </si>
  <si>
    <t>EUR/KN*</t>
  </si>
  <si>
    <t>UKUPAN DONOS VIŠKA / MANJKA IZ PRETHODNE(IH) GODINE***</t>
  </si>
  <si>
    <t>Rashodi za nabavu proizvedene dugotrajne imovine</t>
  </si>
  <si>
    <t>C) PRENESENI VIŠAK ILI PRENESENI MANJAK I VIŠEGODIŠNJI PLAN URAVNOTEŽENJA</t>
  </si>
  <si>
    <t>Prihodi od imovine</t>
  </si>
  <si>
    <t>Naziv</t>
  </si>
  <si>
    <t>Izvršenje 2021. KN</t>
  </si>
  <si>
    <t xml:space="preserve">Pomoći iz inozemstva i od subjekata unutar općeg proračuna </t>
  </si>
  <si>
    <t>Prihodi od prodaje proizvedene dugotrajne imovine</t>
  </si>
  <si>
    <t xml:space="preserve">Prihodi od upravnih i administrativnih pristojbi, pristojbi po posebnim propisima i naknada </t>
  </si>
  <si>
    <t xml:space="preserve">Prihodi od prodaje proizvoda i robe te pruženih usluga, donacija te povrati po protestiranim jamstvima </t>
  </si>
  <si>
    <t>Subvencije</t>
  </si>
  <si>
    <t>Pomoći dane u inozemstvo i unutar općeg proračuna</t>
  </si>
  <si>
    <t xml:space="preserve">Naknade građanima i kućanstvima na temelju osiguranja i druge naknade </t>
  </si>
  <si>
    <t>Ostali rashodi</t>
  </si>
  <si>
    <t xml:space="preserve">Rashodi za dodatna ulaganja na nefinancijskoj imovini </t>
  </si>
  <si>
    <t>Plan 2022. KN</t>
  </si>
  <si>
    <t>Plan 2022. EUR</t>
  </si>
  <si>
    <t>Izvršenje 2021. EUR</t>
  </si>
  <si>
    <t>03 Javni red i sigurnost</t>
  </si>
  <si>
    <t>05 Zaštita okoliša</t>
  </si>
  <si>
    <t>06 Usluge unaprjeđenja stanovanja i zajednice</t>
  </si>
  <si>
    <t>02 Obrana</t>
  </si>
  <si>
    <t>07 Zdravstvo</t>
  </si>
  <si>
    <t>08 Rekreacija, kultura i religija</t>
  </si>
  <si>
    <t>09 Obrazovanje</t>
  </si>
  <si>
    <t>0911 Predškolsko obrazovanje</t>
  </si>
  <si>
    <t>0912 Osnovnoškolsko obrazovanje</t>
  </si>
  <si>
    <t>092 Srednjoškolsko obrazovanje</t>
  </si>
  <si>
    <t>094 Visoka naobrazba</t>
  </si>
  <si>
    <t>10 Socijalna zaštita</t>
  </si>
  <si>
    <t>RAZDJEL 001 PREDSTAVNIČKA I IZVRŠNA TIJELA</t>
  </si>
  <si>
    <t xml:space="preserve">GLAVA 00101:Predstavnička i izvršna tijela </t>
  </si>
  <si>
    <t>Program 01: Predstavnička i izvršna vlast</t>
  </si>
  <si>
    <t>Izvor financiranja: 01 - Opći prihodi i primici</t>
  </si>
  <si>
    <t xml:space="preserve">Izvor financiranja: 01 -  Opći prihodi i primici </t>
  </si>
  <si>
    <t>Izvor financiranja: 05 - Pomoći</t>
  </si>
  <si>
    <t>Program 02: Mjesna samouprava</t>
  </si>
  <si>
    <t>RAZDJEL 002 JEDINSTVENI UPRAVNI ODJEL</t>
  </si>
  <si>
    <t>GLAVA 00201: Jedinstveni upravni odjel</t>
  </si>
  <si>
    <t>Program 01: Opći, upravni i financ. računovod. poslovi</t>
  </si>
  <si>
    <t>Izvor financiranja: 04 - Prihod za posebne namjene</t>
  </si>
  <si>
    <t>Aktivnost A002010101: Redovni rad Jedinstvenog upravnog odjela</t>
  </si>
  <si>
    <t>Aktivnost: 002010102 - Financije</t>
  </si>
  <si>
    <t>Aktivnost A002010103: Izrada dokumentacije</t>
  </si>
  <si>
    <t>Aktivnost A002010104: Nabava opreme i namještaja</t>
  </si>
  <si>
    <t xml:space="preserve">Program 02: Zapošljavanje osoba na javnim radovima </t>
  </si>
  <si>
    <t xml:space="preserve">Izvor financiranja: 05 - Pomoći </t>
  </si>
  <si>
    <t xml:space="preserve">Aktivnost A002020101: Redovni rad osoba na javnim radovima </t>
  </si>
  <si>
    <t>GLAVA 00202: Poljoprivreda i poduzetništvo</t>
  </si>
  <si>
    <t>Program 01: Unaprjeđenje poljoprivrede</t>
  </si>
  <si>
    <t>i stočarstva</t>
  </si>
  <si>
    <t>Program 02: Unaprjeđenje razvoja turizma</t>
  </si>
  <si>
    <t xml:space="preserve">GLAVA 00203: Prostorno planiranje, uređenje </t>
  </si>
  <si>
    <t>i komunalne djelatnosti</t>
  </si>
  <si>
    <t>Program 01: Program održav. komunalne infrastrukture</t>
  </si>
  <si>
    <t>Program 02: Program građenja komunalne infrastrukture</t>
  </si>
  <si>
    <t>Kapitalni projekt: 002030204 - Uređenje groblja</t>
  </si>
  <si>
    <t xml:space="preserve">na mjesnom groblju </t>
  </si>
  <si>
    <t xml:space="preserve">Izvor financiranja: 01 - Opći prihodi i primici </t>
  </si>
  <si>
    <t xml:space="preserve">Program 03: Razvoj i upravljanje sustavom vodoopskrbe, </t>
  </si>
  <si>
    <t>odvodnje i zaštite voda</t>
  </si>
  <si>
    <t>Program 04: Zaštita i uređenje okoliša</t>
  </si>
  <si>
    <t>Program 05: Veterinarska zaštita okoliša</t>
  </si>
  <si>
    <t>Program 06: Izgradnja i održav. ostale kom. infrastruk.</t>
  </si>
  <si>
    <t>infrastrukture</t>
  </si>
  <si>
    <t>Program 07: Izgradnja i odr. turističke infrastrukture</t>
  </si>
  <si>
    <t>GLAVA 00204: Odgoj i obrazovanje</t>
  </si>
  <si>
    <t>Program 01: Predškolski odgoj</t>
  </si>
  <si>
    <t>Aktivnost A002040101: Redovni rad DV "Košutica"</t>
  </si>
  <si>
    <t>Korisnik: Dječji vrtić "Košutica"</t>
  </si>
  <si>
    <t>Program 02: Osnovnoškolsko obrazovanje</t>
  </si>
  <si>
    <t xml:space="preserve">Aktivnost A002040201: Unaprjeđenje nastave u </t>
  </si>
  <si>
    <t>Osnovnoj školi</t>
  </si>
  <si>
    <t>Program 03: Srednjoškolsko obrazovanje</t>
  </si>
  <si>
    <t>srednjih škola</t>
  </si>
  <si>
    <t>Program 04: Visoka naobrazba</t>
  </si>
  <si>
    <t>Aktivnost A002040203: Studentske stipendije</t>
  </si>
  <si>
    <t xml:space="preserve">GLAVA 00205: ORGANIZACIJA I PROVOĐENJE ZAŠTITE </t>
  </si>
  <si>
    <t>I SPAŠAVANJA</t>
  </si>
  <si>
    <t>Program 01: Protupožarna zaštita</t>
  </si>
  <si>
    <t>Program 02: Civilna zaštita</t>
  </si>
  <si>
    <t>GLAVA 00206: REKREACIJA, KULTURA, RELIGIJA</t>
  </si>
  <si>
    <t>Program 01: Program javnih potreba u sportu</t>
  </si>
  <si>
    <t>sportskih udruga</t>
  </si>
  <si>
    <t>Program 02: Program javnih potreba u kulturi</t>
  </si>
  <si>
    <t>Program 03: Prog.sufinanc. vjerskih udruga i zajednica</t>
  </si>
  <si>
    <t>Aktivnost A002060103: Sufinanciranje župe i župnog ureda</t>
  </si>
  <si>
    <t>Aktivnost A002060104: Sufinanciranje vjerskih udruga</t>
  </si>
  <si>
    <t>Program 01: Pomoć obiteljima i kućanstvima</t>
  </si>
  <si>
    <t>GLAVA 00207: ZDRAVSTVO I SOCIJALNA SKRB</t>
  </si>
  <si>
    <t>Aktivnost A002070101: Pomoć obiteljima</t>
  </si>
  <si>
    <t>Izvor financiranja; 01 - Opći prihodi i primici</t>
  </si>
  <si>
    <t xml:space="preserve">Izvor financiranja; 05 - Pomoći </t>
  </si>
  <si>
    <t>Aktivnost A002070102: Pokloni djeci za blagdane</t>
  </si>
  <si>
    <t>Kapitalni projekt 002070103 : Brižne žene Podravske</t>
  </si>
  <si>
    <t>Kapitalni projekt: 002070104 Zaželi faza II</t>
  </si>
  <si>
    <t xml:space="preserve">Izvor financiranja: 05- Pomoći </t>
  </si>
  <si>
    <t>Program 02: Humanitarna skrb kroz udruge građana</t>
  </si>
  <si>
    <t>Aktivnost A002070202: Sufinanciranje zdravstvenih usluga</t>
  </si>
  <si>
    <t>GLAVA 00208: POTICANJE RAZVOJA CIVIL. DRUŠTVA</t>
  </si>
  <si>
    <t>Program 01: Djelatnost udruga građana</t>
  </si>
  <si>
    <t>Aktivnost A002080101: Sufinanciranje projekata</t>
  </si>
  <si>
    <t xml:space="preserve">Rashodi za nabavu proizvedene dugotrajne imovine </t>
  </si>
  <si>
    <t xml:space="preserve">Aktivnost A001010102: Općinsko vijeće i radna tijela Općinskog vijeća </t>
  </si>
  <si>
    <t xml:space="preserve">Aktivnost A001010103: Troškovi lokalnih izbora </t>
  </si>
  <si>
    <t>Aktivnost A001020101: Djelokrug mjesne samouprave</t>
  </si>
  <si>
    <t xml:space="preserve">Financijski rashodi </t>
  </si>
  <si>
    <t xml:space="preserve">Aktivnost A002020101: Poticanje poljoprivredne proizvodnje </t>
  </si>
  <si>
    <t>Aktivnost A002020102: Subvencije u turizmu</t>
  </si>
  <si>
    <t>nerazvrstanih cesta</t>
  </si>
  <si>
    <t xml:space="preserve">Aktivnost A002030101: Održavanje javnih površina i </t>
  </si>
  <si>
    <t>Aktivnost A002030104: Održavanje groblja</t>
  </si>
  <si>
    <t xml:space="preserve">Aktivnost A002030103: Održavanje građ. javne odvodnje oborinskih voda </t>
  </si>
  <si>
    <t xml:space="preserve">Izvor financiranja: 04 - Prihod za posebne namjene </t>
  </si>
  <si>
    <t>gradnja nerazvrstanih cesta i mostova</t>
  </si>
  <si>
    <t xml:space="preserve">Aktivnost A002030102: Održ.i moderniz.mreže javne rasvjete </t>
  </si>
  <si>
    <t xml:space="preserve">Kapitalni projekt 002030201: Rekonstrukcija i </t>
  </si>
  <si>
    <t>sportskih i rekreacijskih prostora</t>
  </si>
  <si>
    <t xml:space="preserve">Kapitalni projekt 002030202: Rekonstrukcija </t>
  </si>
  <si>
    <t>Kapitalni projekt 002030301: Izgradnja sekundarnog</t>
  </si>
  <si>
    <t>vodovoda odvodnje</t>
  </si>
  <si>
    <t>Aktivnost A002030401: Zaštita i uređenje okoliša</t>
  </si>
  <si>
    <t>Kapitalni projekt 002030402: Sanacija odlagališta otpada</t>
  </si>
  <si>
    <t>Kapitalni projekt 002030404: Nabava opreme za zaštitu okoliša</t>
  </si>
  <si>
    <t>Aktivnost A002030501: Veterinarske usluge</t>
  </si>
  <si>
    <t>Aktivnost A002030602: Održavanje vage</t>
  </si>
  <si>
    <t>Kapitalni projekt 002030701: Izgradnja i održavanje turist. infrastrukture</t>
  </si>
  <si>
    <t>građevinskim objektima</t>
  </si>
  <si>
    <t>Kapitalni projekt: 001020602: Dodatna ulaganja na</t>
  </si>
  <si>
    <t>Rashodi za dodatna ulaganja na nefinancijskoj imovini</t>
  </si>
  <si>
    <t>Financijski rashodi</t>
  </si>
  <si>
    <t>Aktivnost A002050101: Sufinanciranje rada vatrogasnih zajednica i postrojbi</t>
  </si>
  <si>
    <t>Aktivnost A002050102: Sufinanciranje rada civilne zaštite i HGSS-a</t>
  </si>
  <si>
    <t xml:space="preserve">Aktivnost A002060101: Sufinanciranje programa </t>
  </si>
  <si>
    <t>Aktivnost A002070201: Sufinanciranje udruga i društava</t>
  </si>
  <si>
    <t>UKUPNO RASHODI I IZDACI</t>
  </si>
  <si>
    <t xml:space="preserve">Rashodi za nabavu neproizvedene dugotrajne imovine </t>
  </si>
  <si>
    <t xml:space="preserve">Kapitalni projekt:002030203- Sufinanciranje ŽUC </t>
  </si>
  <si>
    <t xml:space="preserve">Aktivnost A002030206: Sufinanciranje nabave bibliobusa </t>
  </si>
  <si>
    <t>Kapitalni projekt:002030205- Sufinanciranje rekonstrukcije mosta</t>
  </si>
  <si>
    <t xml:space="preserve">Kapitalni projekt 002030206: Uređenje parka na Trgu slobode </t>
  </si>
  <si>
    <t>Kapitalni projekt 002030208: Proširenje parkinga i uređenje okoliša oko škole</t>
  </si>
  <si>
    <t xml:space="preserve">Kapitalni projekt 002030209: Izgradnja dječjeg igrališta </t>
  </si>
  <si>
    <t>Kapitalni projekt 002030210: Izgradnja fitnes parka</t>
  </si>
  <si>
    <t>Kapitalni projekt 002030204: Izgradnja pješačke staze na mjesnom groblju</t>
  </si>
  <si>
    <t>Kapitalni projekt 002070105 : Brižne žene Podravske III</t>
  </si>
  <si>
    <t>Kapitalni projekt 002070106: Pomoć je moć 2</t>
  </si>
  <si>
    <t>01</t>
  </si>
  <si>
    <t>05</t>
  </si>
  <si>
    <t>Pomoći</t>
  </si>
  <si>
    <t>04</t>
  </si>
  <si>
    <t>Prihod za posebne namjene</t>
  </si>
  <si>
    <t xml:space="preserve">Aktivnost A001010101: Općinski načelnik </t>
  </si>
  <si>
    <t>Aktivnost A002030105: Katastarska izmjera na području Općine Ferdinandovac</t>
  </si>
  <si>
    <t xml:space="preserve">Aktivnost A002030601: Dogradnja i održavanje objekata kom. </t>
  </si>
  <si>
    <t xml:space="preserve">Kapitalni projekt 002030407: Izgradnja fotonaponske elektrane i dizalice topline dječji vrtić Košutica Ferdinandovac </t>
  </si>
  <si>
    <t>Kapitalni projekt 002030407: Izgradnja fotonaponske elektrane i dizalica topline zgrada Općine i društveni dom</t>
  </si>
  <si>
    <t>Aktivnost A002030207: Sufinanciranje nabave vozila C.križ</t>
  </si>
  <si>
    <t>Kapitalni projekt 002030212: Uređenje križanja ulica Trg slobode i P. Preradovića</t>
  </si>
  <si>
    <t xml:space="preserve">Kapitalni projekt 002030205: Izgradnja pješačke staze na Trgu slobode </t>
  </si>
  <si>
    <t xml:space="preserve">Kapitalni projekt 002030213: Izgradnja spremišta komunalne opreme </t>
  </si>
  <si>
    <t xml:space="preserve">Aktivnost A002040202: Novčana pomoć  učenicima </t>
  </si>
  <si>
    <t>KLASA: 400-05/22-01/1</t>
  </si>
  <si>
    <t xml:space="preserve">Aktivnost A002060201: Sufinanc. udruga u kulturi  </t>
  </si>
  <si>
    <t>Članak 1.</t>
  </si>
  <si>
    <t xml:space="preserve">      Proračun Općine Ferdinandovac za 2023. godinu i projekcije za 2024. i 2025. godinu (u daljnjem tekstu: Proračun) sastoji se od :</t>
  </si>
  <si>
    <t>Članak 2.</t>
  </si>
  <si>
    <t xml:space="preserve">U računu prihoda i rashoda iskazani su prihodi poslovanja i prihodi od prodaje nefinancijske imovine te rashodi poslovanja i rashodi za nabavu nefinancijske imovine prema </t>
  </si>
  <si>
    <t>ekonomskoj klasifikaciji i prema izvorima financiranja.</t>
  </si>
  <si>
    <t xml:space="preserve">                                                                                                        PRIHODI POSLOVANJA                                                                                         U EURIMA</t>
  </si>
  <si>
    <t xml:space="preserve">                                                                                 RASHODI PREMA FUNKCIJSKOJ KLASIFIKACIJI                                                             U EURIMA</t>
  </si>
  <si>
    <t>U Računu financiranja iskazani su primici i izdaci prema ekonomskoj klasiikaciji.</t>
  </si>
  <si>
    <t>Članak 3.</t>
  </si>
  <si>
    <t>Članak 4.</t>
  </si>
  <si>
    <t>III. ZAVRŠNA ODREDBA</t>
  </si>
  <si>
    <t>Članak 5.</t>
  </si>
  <si>
    <t>OPĆINSKO VIJEĆE</t>
  </si>
  <si>
    <t xml:space="preserve">OPĆINE FERDINANDOVAC </t>
  </si>
  <si>
    <t>Branko Patačko</t>
  </si>
  <si>
    <t>PREDSJEDNIK:</t>
  </si>
  <si>
    <t xml:space="preserve">      Obrazloženje Proračuna sastoji se od obrazloženja općeg i posebnog dijela Proračuna i njegov je sastavni dio.</t>
  </si>
  <si>
    <t xml:space="preserve">     Proračun će se objaviti u "Službenom glasniku Koprivničko-križevačke županije", a stupa na snagu 1. siječnja 2023. godine. </t>
  </si>
  <si>
    <t xml:space="preserve">na 20. sjednici održanoj 20. prosinca 2022. godine donijelo je </t>
  </si>
  <si>
    <t>PRORAČUN OPĆINE FERDINANDOVAC ZA 2023. I PROJEKCIJE ZA 2024. I 2025. GODINU</t>
  </si>
  <si>
    <t xml:space="preserve">       Rashodi i izdaci proračuna u iznosu 1.572.634,55 eura raspoređuju se prema organizacijskoj, programskoj i ekonomskoj klasifikaciji po izvorima financiranja, kako slijedi:</t>
  </si>
  <si>
    <t>Ferdinandovac, 20. prosinca 2022.</t>
  </si>
  <si>
    <t>URBROJ: 2137-15-22-4</t>
  </si>
  <si>
    <t xml:space="preserve">     Prihodi i rashodi te primici i izdaci po ekonomskoj klasifikaciji utvrđeni su u proračunu, u A) Računu prihoda i rashoda i B) Računu financiranja, kako slijedi:</t>
  </si>
  <si>
    <t xml:space="preserve">           Na temelju članka 42.  Zakona o proračunu ("Narodne novine 144/21") i članka 31. Statuta Općine Ferdinandovac ("Službeni glasnik Koprivničko-križevačke županije" broj 6/13, 1/18, 5/20. i 4/21), Općinsko vijeće Općine Ferdinandovac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</si>
</sst>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3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2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0" fillId="0" borderId="0" xfId="0" applyNumberFormat="1"/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6" fillId="2" borderId="4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4" fontId="0" fillId="0" borderId="3" xfId="0" applyNumberFormat="1" applyBorder="1"/>
    <xf numFmtId="0" fontId="0" fillId="0" borderId="3" xfId="0" applyBorder="1"/>
    <xf numFmtId="0" fontId="17" fillId="5" borderId="3" xfId="0" applyFont="1" applyFill="1" applyBorder="1"/>
    <xf numFmtId="0" fontId="9" fillId="6" borderId="1" xfId="0" applyFont="1" applyFill="1" applyBorder="1" applyAlignment="1">
      <alignment horizontal="left"/>
    </xf>
    <xf numFmtId="0" fontId="9" fillId="6" borderId="3" xfId="0" applyFont="1" applyFill="1" applyBorder="1"/>
    <xf numFmtId="4" fontId="9" fillId="6" borderId="3" xfId="0" applyNumberFormat="1" applyFont="1" applyFill="1" applyBorder="1"/>
    <xf numFmtId="4" fontId="0" fillId="6" borderId="3" xfId="0" applyNumberFormat="1" applyFill="1" applyBorder="1"/>
    <xf numFmtId="0" fontId="9" fillId="6" borderId="3" xfId="0" applyFont="1" applyFill="1" applyBorder="1" applyAlignment="1">
      <alignment horizontal="left"/>
    </xf>
    <xf numFmtId="0" fontId="0" fillId="6" borderId="3" xfId="0" applyFill="1" applyBorder="1" applyAlignment="1">
      <alignment horizontal="left"/>
    </xf>
    <xf numFmtId="4" fontId="3" fillId="0" borderId="4" xfId="0" applyNumberFormat="1" applyFont="1" applyBorder="1" applyAlignment="1">
      <alignment horizontal="right"/>
    </xf>
    <xf numFmtId="0" fontId="9" fillId="6" borderId="2" xfId="0" applyFont="1" applyFill="1" applyBorder="1"/>
    <xf numFmtId="0" fontId="9" fillId="6" borderId="1" xfId="0" applyFont="1" applyFill="1" applyBorder="1"/>
    <xf numFmtId="4" fontId="9" fillId="6" borderId="2" xfId="0" applyNumberFormat="1" applyFont="1" applyFill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9" fillId="6" borderId="3" xfId="0" applyNumberFormat="1" applyFont="1" applyFill="1" applyBorder="1" applyAlignment="1">
      <alignment horizontal="right"/>
    </xf>
    <xf numFmtId="4" fontId="9" fillId="6" borderId="3" xfId="0" applyNumberFormat="1" applyFont="1" applyFill="1" applyBorder="1" applyAlignment="1">
      <alignment horizontal="right" shrinkToFit="1"/>
    </xf>
    <xf numFmtId="4" fontId="9" fillId="6" borderId="7" xfId="0" applyNumberFormat="1" applyFont="1" applyFill="1" applyBorder="1" applyAlignment="1">
      <alignment horizontal="right"/>
    </xf>
    <xf numFmtId="4" fontId="9" fillId="6" borderId="1" xfId="0" applyNumberFormat="1" applyFont="1" applyFill="1" applyBorder="1"/>
    <xf numFmtId="4" fontId="9" fillId="6" borderId="7" xfId="0" applyNumberFormat="1" applyFont="1" applyFill="1" applyBorder="1"/>
    <xf numFmtId="4" fontId="7" fillId="3" borderId="4" xfId="0" applyNumberFormat="1" applyFont="1" applyFill="1" applyBorder="1" applyAlignment="1">
      <alignment horizontal="right" shrinkToFit="1"/>
    </xf>
    <xf numFmtId="4" fontId="7" fillId="3" borderId="3" xfId="0" applyNumberFormat="1" applyFont="1" applyFill="1" applyBorder="1" applyAlignment="1">
      <alignment horizontal="right"/>
    </xf>
    <xf numFmtId="4" fontId="3" fillId="6" borderId="3" xfId="0" applyNumberFormat="1" applyFont="1" applyFill="1" applyBorder="1" applyAlignment="1">
      <alignment horizontal="right"/>
    </xf>
    <xf numFmtId="4" fontId="3" fillId="6" borderId="3" xfId="0" applyNumberFormat="1" applyFont="1" applyFill="1" applyBorder="1" applyAlignment="1">
      <alignment horizontal="right" wrapText="1"/>
    </xf>
    <xf numFmtId="4" fontId="0" fillId="6" borderId="3" xfId="0" applyNumberFormat="1" applyFill="1" applyBorder="1" applyAlignment="1">
      <alignment horizontal="right"/>
    </xf>
    <xf numFmtId="4" fontId="0" fillId="6" borderId="7" xfId="0" applyNumberFormat="1" applyFill="1" applyBorder="1" applyAlignment="1">
      <alignment horizontal="right"/>
    </xf>
    <xf numFmtId="0" fontId="17" fillId="7" borderId="3" xfId="0" applyFont="1" applyFill="1" applyBorder="1"/>
    <xf numFmtId="0" fontId="0" fillId="7" borderId="3" xfId="0" applyFill="1" applyBorder="1"/>
    <xf numFmtId="4" fontId="18" fillId="7" borderId="3" xfId="0" applyNumberFormat="1" applyFont="1" applyFill="1" applyBorder="1"/>
    <xf numFmtId="4" fontId="0" fillId="7" borderId="3" xfId="0" applyNumberFormat="1" applyFill="1" applyBorder="1"/>
    <xf numFmtId="4" fontId="0" fillId="7" borderId="3" xfId="0" applyNumberFormat="1" applyFill="1" applyBorder="1" applyAlignment="1">
      <alignment horizontal="right"/>
    </xf>
    <xf numFmtId="4" fontId="17" fillId="7" borderId="3" xfId="0" applyNumberFormat="1" applyFont="1" applyFill="1" applyBorder="1" applyAlignment="1">
      <alignment horizontal="right" shrinkToFit="1"/>
    </xf>
    <xf numFmtId="0" fontId="11" fillId="7" borderId="3" xfId="0" applyFont="1" applyFill="1" applyBorder="1" applyAlignment="1">
      <alignment horizontal="left"/>
    </xf>
    <xf numFmtId="4" fontId="17" fillId="7" borderId="3" xfId="0" applyNumberFormat="1" applyFont="1" applyFill="1" applyBorder="1" applyAlignment="1">
      <alignment horizontal="right"/>
    </xf>
    <xf numFmtId="0" fontId="0" fillId="7" borderId="1" xfId="0" applyFill="1" applyBorder="1"/>
    <xf numFmtId="4" fontId="18" fillId="7" borderId="3" xfId="0" applyNumberFormat="1" applyFont="1" applyFill="1" applyBorder="1" applyAlignment="1">
      <alignment horizontal="right"/>
    </xf>
    <xf numFmtId="0" fontId="17" fillId="7" borderId="6" xfId="0" applyFont="1" applyFill="1" applyBorder="1" applyAlignment="1">
      <alignment horizontal="left"/>
    </xf>
    <xf numFmtId="0" fontId="17" fillId="7" borderId="5" xfId="0" applyFont="1" applyFill="1" applyBorder="1" applyAlignment="1">
      <alignment horizontal="left"/>
    </xf>
    <xf numFmtId="4" fontId="1" fillId="7" borderId="3" xfId="0" applyNumberFormat="1" applyFont="1" applyFill="1" applyBorder="1"/>
    <xf numFmtId="4" fontId="11" fillId="7" borderId="3" xfId="0" applyNumberFormat="1" applyFont="1" applyFill="1" applyBorder="1" applyAlignment="1">
      <alignment horizontal="right"/>
    </xf>
    <xf numFmtId="0" fontId="7" fillId="7" borderId="3" xfId="0" applyFont="1" applyFill="1" applyBorder="1" applyAlignment="1">
      <alignment horizontal="left" shrinkToFit="1"/>
    </xf>
    <xf numFmtId="0" fontId="11" fillId="7" borderId="1" xfId="0" applyFont="1" applyFill="1" applyBorder="1" applyAlignment="1">
      <alignment horizontal="left"/>
    </xf>
    <xf numFmtId="4" fontId="17" fillId="7" borderId="1" xfId="0" applyNumberFormat="1" applyFont="1" applyFill="1" applyBorder="1"/>
    <xf numFmtId="4" fontId="17" fillId="7" borderId="3" xfId="0" applyNumberFormat="1" applyFont="1" applyFill="1" applyBorder="1"/>
    <xf numFmtId="0" fontId="17" fillId="7" borderId="5" xfId="0" applyFont="1" applyFill="1" applyBorder="1"/>
    <xf numFmtId="0" fontId="11" fillId="7" borderId="3" xfId="0" applyFont="1" applyFill="1" applyBorder="1"/>
    <xf numFmtId="4" fontId="3" fillId="7" borderId="3" xfId="0" applyNumberFormat="1" applyFont="1" applyFill="1" applyBorder="1" applyAlignment="1">
      <alignment horizontal="right"/>
    </xf>
    <xf numFmtId="4" fontId="11" fillId="7" borderId="3" xfId="0" applyNumberFormat="1" applyFont="1" applyFill="1" applyBorder="1" applyAlignment="1">
      <alignment horizontal="right" shrinkToFit="1"/>
    </xf>
    <xf numFmtId="4" fontId="19" fillId="4" borderId="4" xfId="0" applyNumberFormat="1" applyFont="1" applyFill="1" applyBorder="1" applyAlignment="1">
      <alignment horizontal="right" vertical="center" wrapText="1"/>
    </xf>
    <xf numFmtId="0" fontId="17" fillId="8" borderId="3" xfId="0" applyFont="1" applyFill="1" applyBorder="1" applyAlignment="1">
      <alignment horizontal="left"/>
    </xf>
    <xf numFmtId="4" fontId="17" fillId="8" borderId="3" xfId="0" applyNumberFormat="1" applyFont="1" applyFill="1" applyBorder="1" applyAlignment="1">
      <alignment horizontal="right"/>
    </xf>
    <xf numFmtId="0" fontId="17" fillId="8" borderId="3" xfId="0" applyFont="1" applyFill="1" applyBorder="1"/>
    <xf numFmtId="4" fontId="1" fillId="8" borderId="3" xfId="0" applyNumberFormat="1" applyFont="1" applyFill="1" applyBorder="1" applyAlignment="1">
      <alignment horizontal="right"/>
    </xf>
    <xf numFmtId="4" fontId="17" fillId="8" borderId="3" xfId="0" applyNumberFormat="1" applyFont="1" applyFill="1" applyBorder="1" applyAlignment="1">
      <alignment horizontal="right" shrinkToFit="1"/>
    </xf>
    <xf numFmtId="4" fontId="17" fillId="8" borderId="3" xfId="0" applyNumberFormat="1" applyFont="1" applyFill="1" applyBorder="1"/>
    <xf numFmtId="0" fontId="17" fillId="8" borderId="6" xfId="0" applyFont="1" applyFill="1" applyBorder="1"/>
    <xf numFmtId="0" fontId="17" fillId="8" borderId="5" xfId="0" applyFont="1" applyFill="1" applyBorder="1"/>
    <xf numFmtId="4" fontId="17" fillId="8" borderId="1" xfId="0" applyNumberFormat="1" applyFont="1" applyFill="1" applyBorder="1"/>
    <xf numFmtId="0" fontId="11" fillId="8" borderId="3" xfId="0" applyFont="1" applyFill="1" applyBorder="1" applyAlignment="1">
      <alignment horizontal="left"/>
    </xf>
    <xf numFmtId="4" fontId="11" fillId="8" borderId="3" xfId="0" applyNumberFormat="1" applyFont="1" applyFill="1" applyBorder="1" applyAlignment="1">
      <alignment horizontal="right"/>
    </xf>
    <xf numFmtId="4" fontId="17" fillId="8" borderId="4" xfId="0" applyNumberFormat="1" applyFont="1" applyFill="1" applyBorder="1" applyAlignment="1">
      <alignment horizontal="right"/>
    </xf>
    <xf numFmtId="4" fontId="0" fillId="7" borderId="7" xfId="0" applyNumberFormat="1" applyFill="1" applyBorder="1" applyAlignment="1">
      <alignment horizontal="right"/>
    </xf>
    <xf numFmtId="4" fontId="0" fillId="0" borderId="7" xfId="0" applyNumberFormat="1" applyBorder="1" applyAlignment="1">
      <alignment horizontal="right"/>
    </xf>
    <xf numFmtId="4" fontId="18" fillId="7" borderId="7" xfId="0" applyNumberFormat="1" applyFont="1" applyFill="1" applyBorder="1" applyAlignment="1">
      <alignment horizontal="right"/>
    </xf>
    <xf numFmtId="4" fontId="0" fillId="9" borderId="3" xfId="0" applyNumberFormat="1" applyFill="1" applyBorder="1" applyAlignment="1">
      <alignment horizontal="right"/>
    </xf>
    <xf numFmtId="0" fontId="7" fillId="6" borderId="3" xfId="0" applyFont="1" applyFill="1" applyBorder="1" applyAlignment="1">
      <alignment horizontal="left" shrinkToFit="1"/>
    </xf>
    <xf numFmtId="4" fontId="9" fillId="0" borderId="3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17" fillId="10" borderId="3" xfId="0" applyFont="1" applyFill="1" applyBorder="1"/>
    <xf numFmtId="0" fontId="0" fillId="10" borderId="3" xfId="0" applyFill="1" applyBorder="1"/>
    <xf numFmtId="4" fontId="0" fillId="10" borderId="3" xfId="0" applyNumberFormat="1" applyFill="1" applyBorder="1" applyAlignment="1">
      <alignment horizontal="right"/>
    </xf>
    <xf numFmtId="4" fontId="17" fillId="11" borderId="3" xfId="0" applyNumberFormat="1" applyFont="1" applyFill="1" applyBorder="1" applyAlignment="1">
      <alignment horizontal="right" shrinkToFit="1"/>
    </xf>
    <xf numFmtId="0" fontId="17" fillId="11" borderId="3" xfId="0" applyFont="1" applyFill="1" applyBorder="1"/>
    <xf numFmtId="4" fontId="17" fillId="11" borderId="3" xfId="0" applyNumberFormat="1" applyFont="1" applyFill="1" applyBorder="1"/>
    <xf numFmtId="0" fontId="11" fillId="11" borderId="7" xfId="0" applyFont="1" applyFill="1" applyBorder="1"/>
    <xf numFmtId="0" fontId="17" fillId="11" borderId="7" xfId="0" applyFont="1" applyFill="1" applyBorder="1"/>
    <xf numFmtId="0" fontId="9" fillId="0" borderId="3" xfId="0" quotePrefix="1" applyFont="1" applyBorder="1" applyAlignment="1">
      <alignment horizontal="left" vertical="center"/>
    </xf>
    <xf numFmtId="49" fontId="10" fillId="0" borderId="3" xfId="0" quotePrefix="1" applyNumberFormat="1" applyFont="1" applyBorder="1" applyAlignment="1">
      <alignment horizontal="left" vertical="center"/>
    </xf>
    <xf numFmtId="0" fontId="10" fillId="0" borderId="3" xfId="0" quotePrefix="1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49" fontId="11" fillId="2" borderId="3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49" fontId="10" fillId="2" borderId="3" xfId="0" quotePrefix="1" applyNumberFormat="1" applyFont="1" applyFill="1" applyBorder="1" applyAlignment="1">
      <alignment horizontal="left" vertical="center"/>
    </xf>
    <xf numFmtId="49" fontId="11" fillId="2" borderId="3" xfId="0" applyNumberFormat="1" applyFont="1" applyFill="1" applyBorder="1" applyAlignment="1">
      <alignment horizontal="left" vertical="center"/>
    </xf>
    <xf numFmtId="4" fontId="6" fillId="0" borderId="4" xfId="0" applyNumberFormat="1" applyFont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4" fontId="14" fillId="6" borderId="3" xfId="0" applyNumberFormat="1" applyFont="1" applyFill="1" applyBorder="1" applyAlignment="1">
      <alignment horizontal="right"/>
    </xf>
    <xf numFmtId="0" fontId="14" fillId="0" borderId="0" xfId="0" applyFont="1"/>
    <xf numFmtId="4" fontId="11" fillId="6" borderId="3" xfId="0" applyNumberFormat="1" applyFont="1" applyFill="1" applyBorder="1" applyAlignment="1">
      <alignment horizontal="right"/>
    </xf>
    <xf numFmtId="0" fontId="21" fillId="0" borderId="0" xfId="0" applyFont="1"/>
    <xf numFmtId="4" fontId="22" fillId="7" borderId="3" xfId="0" applyNumberFormat="1" applyFont="1" applyFill="1" applyBorder="1"/>
    <xf numFmtId="0" fontId="23" fillId="7" borderId="3" xfId="0" applyFont="1" applyFill="1" applyBorder="1"/>
    <xf numFmtId="0" fontId="23" fillId="0" borderId="0" xfId="0" applyFont="1"/>
    <xf numFmtId="4" fontId="14" fillId="7" borderId="3" xfId="0" applyNumberFormat="1" applyFont="1" applyFill="1" applyBorder="1" applyAlignment="1">
      <alignment horizontal="right"/>
    </xf>
    <xf numFmtId="4" fontId="22" fillId="7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 wrapText="1"/>
    </xf>
    <xf numFmtId="4" fontId="1" fillId="7" borderId="3" xfId="0" applyNumberFormat="1" applyFont="1" applyFill="1" applyBorder="1" applyAlignment="1">
      <alignment horizontal="right"/>
    </xf>
    <xf numFmtId="4" fontId="17" fillId="7" borderId="7" xfId="0" applyNumberFormat="1" applyFont="1" applyFill="1" applyBorder="1" applyAlignment="1">
      <alignment horizontal="right" shrinkToFit="1"/>
    </xf>
    <xf numFmtId="0" fontId="24" fillId="0" borderId="0" xfId="0" applyFont="1"/>
    <xf numFmtId="4" fontId="6" fillId="0" borderId="3" xfId="0" applyNumberFormat="1" applyFont="1" applyBorder="1" applyAlignment="1">
      <alignment horizontal="right" wrapText="1"/>
    </xf>
    <xf numFmtId="4" fontId="17" fillId="0" borderId="3" xfId="0" applyNumberFormat="1" applyFont="1" applyBorder="1" applyAlignment="1">
      <alignment horizontal="right" shrinkToFi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1" fillId="7" borderId="7" xfId="0" applyNumberFormat="1" applyFont="1" applyFill="1" applyBorder="1" applyAlignment="1">
      <alignment horizontal="right"/>
    </xf>
    <xf numFmtId="4" fontId="17" fillId="0" borderId="7" xfId="0" applyNumberFormat="1" applyFont="1" applyBorder="1" applyAlignment="1">
      <alignment horizontal="right" shrinkToFit="1"/>
    </xf>
    <xf numFmtId="4" fontId="9" fillId="0" borderId="7" xfId="0" applyNumberFormat="1" applyFont="1" applyBorder="1" applyAlignment="1">
      <alignment horizontal="right" shrinkToFit="1"/>
    </xf>
    <xf numFmtId="4" fontId="17" fillId="6" borderId="7" xfId="0" applyNumberFormat="1" applyFont="1" applyFill="1" applyBorder="1" applyAlignment="1">
      <alignment horizontal="right" shrinkToFit="1"/>
    </xf>
    <xf numFmtId="0" fontId="21" fillId="0" borderId="3" xfId="0" applyFont="1" applyBorder="1" applyAlignment="1">
      <alignment wrapText="1"/>
    </xf>
    <xf numFmtId="4" fontId="6" fillId="7" borderId="3" xfId="0" applyNumberFormat="1" applyFont="1" applyFill="1" applyBorder="1" applyAlignment="1">
      <alignment horizontal="right" wrapText="1"/>
    </xf>
    <xf numFmtId="4" fontId="9" fillId="0" borderId="3" xfId="0" applyNumberFormat="1" applyFont="1" applyBorder="1" applyAlignment="1">
      <alignment horizontal="right" shrinkToFit="1"/>
    </xf>
    <xf numFmtId="4" fontId="18" fillId="6" borderId="3" xfId="0" applyNumberFormat="1" applyFont="1" applyFill="1" applyBorder="1" applyAlignment="1">
      <alignment horizontal="right"/>
    </xf>
    <xf numFmtId="4" fontId="1" fillId="6" borderId="7" xfId="0" applyNumberFormat="1" applyFont="1" applyFill="1" applyBorder="1" applyAlignment="1">
      <alignment horizontal="right"/>
    </xf>
    <xf numFmtId="4" fontId="17" fillId="6" borderId="3" xfId="0" applyNumberFormat="1" applyFont="1" applyFill="1" applyBorder="1" applyAlignment="1">
      <alignment horizontal="right" shrinkToFit="1"/>
    </xf>
    <xf numFmtId="4" fontId="20" fillId="6" borderId="7" xfId="0" applyNumberFormat="1" applyFont="1" applyFill="1" applyBorder="1" applyAlignment="1">
      <alignment horizontal="right" shrinkToFit="1"/>
    </xf>
    <xf numFmtId="4" fontId="21" fillId="0" borderId="0" xfId="0" applyNumberFormat="1" applyFont="1"/>
    <xf numFmtId="49" fontId="21" fillId="0" borderId="0" xfId="0" applyNumberFormat="1" applyFont="1"/>
    <xf numFmtId="0" fontId="21" fillId="0" borderId="3" xfId="0" applyFont="1" applyBorder="1"/>
    <xf numFmtId="4" fontId="21" fillId="0" borderId="3" xfId="0" applyNumberFormat="1" applyFont="1" applyBorder="1"/>
    <xf numFmtId="4" fontId="23" fillId="0" borderId="3" xfId="0" applyNumberFormat="1" applyFont="1" applyBorder="1"/>
    <xf numFmtId="4" fontId="23" fillId="0" borderId="0" xfId="0" applyNumberFormat="1" applyFont="1"/>
    <xf numFmtId="0" fontId="12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7" fillId="0" borderId="0" xfId="0" applyFont="1"/>
    <xf numFmtId="0" fontId="25" fillId="0" borderId="0" xfId="0" applyFont="1"/>
    <xf numFmtId="4" fontId="25" fillId="0" borderId="0" xfId="0" applyNumberFormat="1" applyFont="1"/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21" fillId="0" borderId="0" xfId="0" applyFont="1" applyAlignment="1">
      <alignment horizontal="left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4" fontId="1" fillId="7" borderId="3" xfId="0" applyNumberFormat="1" applyFont="1" applyFill="1" applyBorder="1" applyAlignment="1">
      <alignment horizontal="right"/>
    </xf>
    <xf numFmtId="0" fontId="1" fillId="7" borderId="3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18" fillId="7" borderId="7" xfId="0" applyNumberFormat="1" applyFont="1" applyFill="1" applyBorder="1" applyAlignment="1">
      <alignment horizontal="right"/>
    </xf>
    <xf numFmtId="4" fontId="18" fillId="7" borderId="12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7" fillId="7" borderId="8" xfId="0" applyFont="1" applyFill="1" applyBorder="1" applyAlignment="1">
      <alignment horizontal="left"/>
    </xf>
    <xf numFmtId="0" fontId="17" fillId="7" borderId="9" xfId="0" applyFont="1" applyFill="1" applyBorder="1" applyAlignment="1">
      <alignment horizontal="left"/>
    </xf>
    <xf numFmtId="0" fontId="17" fillId="7" borderId="6" xfId="0" applyFont="1" applyFill="1" applyBorder="1" applyAlignment="1">
      <alignment horizontal="left"/>
    </xf>
    <xf numFmtId="0" fontId="17" fillId="7" borderId="5" xfId="0" applyFont="1" applyFill="1" applyBorder="1" applyAlignment="1">
      <alignment horizontal="left"/>
    </xf>
    <xf numFmtId="0" fontId="17" fillId="7" borderId="11" xfId="0" applyFont="1" applyFill="1" applyBorder="1" applyAlignment="1">
      <alignment horizontal="left"/>
    </xf>
    <xf numFmtId="4" fontId="11" fillId="7" borderId="3" xfId="0" applyNumberFormat="1" applyFont="1" applyFill="1" applyBorder="1" applyAlignment="1">
      <alignment horizontal="right"/>
    </xf>
    <xf numFmtId="0" fontId="11" fillId="7" borderId="3" xfId="0" applyFont="1" applyFill="1" applyBorder="1" applyAlignment="1">
      <alignment horizontal="right"/>
    </xf>
    <xf numFmtId="4" fontId="17" fillId="8" borderId="3" xfId="0" applyNumberFormat="1" applyFont="1" applyFill="1" applyBorder="1" applyAlignment="1">
      <alignment horizontal="right" shrinkToFit="1"/>
    </xf>
    <xf numFmtId="0" fontId="17" fillId="8" borderId="3" xfId="0" applyFont="1" applyFill="1" applyBorder="1" applyAlignment="1">
      <alignment horizontal="right" shrinkToFit="1"/>
    </xf>
    <xf numFmtId="4" fontId="17" fillId="7" borderId="3" xfId="0" applyNumberFormat="1" applyFont="1" applyFill="1" applyBorder="1" applyAlignment="1">
      <alignment horizontal="right"/>
    </xf>
    <xf numFmtId="0" fontId="17" fillId="7" borderId="7" xfId="0" applyFont="1" applyFill="1" applyBorder="1" applyAlignment="1">
      <alignment horizontal="right"/>
    </xf>
    <xf numFmtId="0" fontId="17" fillId="8" borderId="1" xfId="0" applyFont="1" applyFill="1" applyBorder="1" applyAlignment="1">
      <alignment horizontal="left" shrinkToFit="1"/>
    </xf>
    <xf numFmtId="0" fontId="17" fillId="8" borderId="2" xfId="0" applyFont="1" applyFill="1" applyBorder="1" applyAlignment="1">
      <alignment horizontal="left" shrinkToFit="1"/>
    </xf>
    <xf numFmtId="0" fontId="17" fillId="8" borderId="4" xfId="0" applyFont="1" applyFill="1" applyBorder="1" applyAlignment="1">
      <alignment horizontal="left" shrinkToFit="1"/>
    </xf>
    <xf numFmtId="0" fontId="17" fillId="7" borderId="8" xfId="0" applyFont="1" applyFill="1" applyBorder="1" applyAlignment="1">
      <alignment horizontal="left" shrinkToFit="1"/>
    </xf>
    <xf numFmtId="0" fontId="17" fillId="7" borderId="9" xfId="0" applyFont="1" applyFill="1" applyBorder="1" applyAlignment="1">
      <alignment horizontal="left" shrinkToFit="1"/>
    </xf>
    <xf numFmtId="0" fontId="17" fillId="7" borderId="10" xfId="0" applyFont="1" applyFill="1" applyBorder="1" applyAlignment="1">
      <alignment horizontal="left" shrinkToFit="1"/>
    </xf>
    <xf numFmtId="4" fontId="17" fillId="7" borderId="7" xfId="0" applyNumberFormat="1" applyFont="1" applyFill="1" applyBorder="1" applyAlignment="1">
      <alignment horizontal="right" shrinkToFit="1"/>
    </xf>
    <xf numFmtId="4" fontId="17" fillId="7" borderId="12" xfId="0" applyNumberFormat="1" applyFont="1" applyFill="1" applyBorder="1" applyAlignment="1">
      <alignment horizontal="right" shrinkToFit="1"/>
    </xf>
    <xf numFmtId="0" fontId="17" fillId="7" borderId="1" xfId="0" applyFont="1" applyFill="1" applyBorder="1" applyAlignment="1">
      <alignment horizontal="left" shrinkToFit="1"/>
    </xf>
    <xf numFmtId="0" fontId="17" fillId="7" borderId="2" xfId="0" applyFont="1" applyFill="1" applyBorder="1" applyAlignment="1">
      <alignment horizontal="left" shrinkToFit="1"/>
    </xf>
    <xf numFmtId="0" fontId="17" fillId="7" borderId="4" xfId="0" applyFont="1" applyFill="1" applyBorder="1" applyAlignment="1">
      <alignment horizontal="left" shrinkToFit="1"/>
    </xf>
    <xf numFmtId="0" fontId="17" fillId="8" borderId="8" xfId="0" applyFont="1" applyFill="1" applyBorder="1" applyAlignment="1">
      <alignment horizontal="left" shrinkToFit="1"/>
    </xf>
    <xf numFmtId="0" fontId="17" fillId="8" borderId="9" xfId="0" applyFont="1" applyFill="1" applyBorder="1" applyAlignment="1">
      <alignment horizontal="left" shrinkToFi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17" fillId="7" borderId="1" xfId="0" applyFont="1" applyFill="1" applyBorder="1" applyAlignment="1">
      <alignment horizontal="left" wrapText="1"/>
    </xf>
    <xf numFmtId="0" fontId="17" fillId="7" borderId="2" xfId="0" applyFont="1" applyFill="1" applyBorder="1" applyAlignment="1">
      <alignment horizontal="left" wrapText="1"/>
    </xf>
    <xf numFmtId="0" fontId="17" fillId="7" borderId="4" xfId="0" applyFont="1" applyFill="1" applyBorder="1" applyAlignment="1">
      <alignment horizontal="left" wrapText="1"/>
    </xf>
    <xf numFmtId="4" fontId="0" fillId="7" borderId="7" xfId="0" applyNumberFormat="1" applyFill="1" applyBorder="1" applyAlignment="1">
      <alignment horizontal="center"/>
    </xf>
    <xf numFmtId="4" fontId="0" fillId="7" borderId="12" xfId="0" applyNumberFormat="1" applyFill="1" applyBorder="1" applyAlignment="1">
      <alignment horizontal="center"/>
    </xf>
    <xf numFmtId="4" fontId="1" fillId="7" borderId="7" xfId="0" applyNumberFormat="1" applyFont="1" applyFill="1" applyBorder="1" applyAlignment="1">
      <alignment horizontal="right"/>
    </xf>
    <xf numFmtId="4" fontId="1" fillId="7" borderId="12" xfId="0" applyNumberFormat="1" applyFont="1" applyFill="1" applyBorder="1" applyAlignment="1">
      <alignment horizontal="right"/>
    </xf>
    <xf numFmtId="0" fontId="17" fillId="7" borderId="3" xfId="0" applyFont="1" applyFill="1" applyBorder="1" applyAlignment="1">
      <alignment horizontal="right"/>
    </xf>
    <xf numFmtId="4" fontId="17" fillId="7" borderId="7" xfId="0" applyNumberFormat="1" applyFont="1" applyFill="1" applyBorder="1" applyAlignment="1">
      <alignment horizontal="right"/>
    </xf>
    <xf numFmtId="0" fontId="17" fillId="7" borderId="12" xfId="0" applyFont="1" applyFill="1" applyBorder="1" applyAlignment="1">
      <alignment horizontal="right"/>
    </xf>
    <xf numFmtId="0" fontId="11" fillId="7" borderId="8" xfId="0" applyFont="1" applyFill="1" applyBorder="1" applyAlignment="1">
      <alignment horizontal="left" wrapText="1" shrinkToFit="1"/>
    </xf>
    <xf numFmtId="0" fontId="11" fillId="7" borderId="9" xfId="0" applyFont="1" applyFill="1" applyBorder="1" applyAlignment="1">
      <alignment horizontal="left" wrapText="1" shrinkToFit="1"/>
    </xf>
    <xf numFmtId="0" fontId="11" fillId="7" borderId="10" xfId="0" applyFont="1" applyFill="1" applyBorder="1" applyAlignment="1">
      <alignment horizontal="left" wrapText="1" shrinkToFit="1"/>
    </xf>
    <xf numFmtId="4" fontId="17" fillId="11" borderId="7" xfId="0" applyNumberFormat="1" applyFont="1" applyFill="1" applyBorder="1" applyAlignment="1">
      <alignment horizontal="right"/>
    </xf>
    <xf numFmtId="0" fontId="17" fillId="11" borderId="12" xfId="0" applyFont="1" applyFill="1" applyBorder="1" applyAlignment="1">
      <alignment horizontal="right"/>
    </xf>
    <xf numFmtId="4" fontId="17" fillId="7" borderId="3" xfId="0" applyNumberFormat="1" applyFont="1" applyFill="1" applyBorder="1"/>
    <xf numFmtId="0" fontId="17" fillId="7" borderId="3" xfId="0" applyFont="1" applyFill="1" applyBorder="1"/>
    <xf numFmtId="0" fontId="9" fillId="6" borderId="1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left" shrinkToFit="1"/>
    </xf>
    <xf numFmtId="0" fontId="11" fillId="7" borderId="2" xfId="0" applyFont="1" applyFill="1" applyBorder="1" applyAlignment="1">
      <alignment horizontal="left" shrinkToFit="1"/>
    </xf>
    <xf numFmtId="0" fontId="11" fillId="7" borderId="4" xfId="0" applyFont="1" applyFill="1" applyBorder="1" applyAlignment="1">
      <alignment horizontal="left" shrinkToFit="1"/>
    </xf>
    <xf numFmtId="0" fontId="9" fillId="6" borderId="1" xfId="0" applyFont="1" applyFill="1" applyBorder="1" applyAlignment="1">
      <alignment horizontal="left" shrinkToFit="1"/>
    </xf>
    <xf numFmtId="0" fontId="9" fillId="6" borderId="2" xfId="0" applyFont="1" applyFill="1" applyBorder="1" applyAlignment="1">
      <alignment horizontal="left" shrinkToFit="1"/>
    </xf>
    <xf numFmtId="0" fontId="17" fillId="7" borderId="10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left" shrinkToFit="1"/>
    </xf>
    <xf numFmtId="0" fontId="17" fillId="7" borderId="8" xfId="0" applyFont="1" applyFill="1" applyBorder="1" applyAlignment="1">
      <alignment horizontal="left" wrapText="1" shrinkToFit="1"/>
    </xf>
    <xf numFmtId="0" fontId="17" fillId="7" borderId="9" xfId="0" applyFont="1" applyFill="1" applyBorder="1" applyAlignment="1">
      <alignment horizontal="left" wrapText="1" shrinkToFit="1"/>
    </xf>
    <xf numFmtId="0" fontId="17" fillId="7" borderId="10" xfId="0" applyFont="1" applyFill="1" applyBorder="1" applyAlignment="1">
      <alignment horizontal="left" wrapText="1" shrinkToFit="1"/>
    </xf>
    <xf numFmtId="0" fontId="17" fillId="8" borderId="1" xfId="0" applyFont="1" applyFill="1" applyBorder="1" applyAlignment="1">
      <alignment horizontal="left"/>
    </xf>
    <xf numFmtId="0" fontId="17" fillId="8" borderId="2" xfId="0" applyFont="1" applyFill="1" applyBorder="1" applyAlignment="1">
      <alignment horizontal="left"/>
    </xf>
    <xf numFmtId="0" fontId="17" fillId="7" borderId="1" xfId="0" applyFont="1" applyFill="1" applyBorder="1" applyAlignment="1">
      <alignment horizontal="left"/>
    </xf>
    <xf numFmtId="0" fontId="17" fillId="7" borderId="2" xfId="0" applyFont="1" applyFill="1" applyBorder="1" applyAlignment="1">
      <alignment horizontal="left"/>
    </xf>
    <xf numFmtId="0" fontId="17" fillId="11" borderId="6" xfId="0" applyFont="1" applyFill="1" applyBorder="1" applyAlignment="1">
      <alignment horizontal="left"/>
    </xf>
    <xf numFmtId="0" fontId="17" fillId="11" borderId="5" xfId="0" applyFont="1" applyFill="1" applyBorder="1" applyAlignment="1">
      <alignment horizontal="left"/>
    </xf>
    <xf numFmtId="0" fontId="17" fillId="11" borderId="11" xfId="0" applyFont="1" applyFill="1" applyBorder="1" applyAlignment="1">
      <alignment horizontal="left"/>
    </xf>
    <xf numFmtId="0" fontId="17" fillId="7" borderId="1" xfId="0" applyFont="1" applyFill="1" applyBorder="1" applyAlignment="1">
      <alignment horizontal="left" wrapText="1" shrinkToFit="1"/>
    </xf>
    <xf numFmtId="0" fontId="17" fillId="7" borderId="2" xfId="0" applyFont="1" applyFill="1" applyBorder="1" applyAlignment="1">
      <alignment horizontal="left" wrapText="1" shrinkToFit="1"/>
    </xf>
    <xf numFmtId="0" fontId="17" fillId="7" borderId="4" xfId="0" applyFont="1" applyFill="1" applyBorder="1" applyAlignment="1">
      <alignment horizontal="left" wrapText="1" shrinkToFit="1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7" fillId="7" borderId="4" xfId="0" applyFont="1" applyFill="1" applyBorder="1" applyAlignment="1">
      <alignment horizontal="left"/>
    </xf>
    <xf numFmtId="0" fontId="12" fillId="0" borderId="0" xfId="0" applyFont="1" applyAlignment="1">
      <alignment horizontal="left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shrinkToFit="1"/>
    </xf>
    <xf numFmtId="0" fontId="17" fillId="11" borderId="1" xfId="0" applyFont="1" applyFill="1" applyBorder="1" applyAlignment="1">
      <alignment horizontal="left"/>
    </xf>
    <xf numFmtId="0" fontId="17" fillId="11" borderId="2" xfId="0" applyFont="1" applyFill="1" applyBorder="1" applyAlignment="1">
      <alignment horizontal="left"/>
    </xf>
    <xf numFmtId="0" fontId="17" fillId="11" borderId="4" xfId="0" applyFont="1" applyFill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7" fillId="7" borderId="1" xfId="0" applyFont="1" applyFill="1" applyBorder="1" applyAlignment="1">
      <alignment horizontal="left" shrinkToFit="1"/>
    </xf>
    <xf numFmtId="0" fontId="7" fillId="7" borderId="2" xfId="0" applyFont="1" applyFill="1" applyBorder="1" applyAlignment="1">
      <alignment horizontal="left" shrinkToFit="1"/>
    </xf>
    <xf numFmtId="0" fontId="7" fillId="7" borderId="4" xfId="0" applyFont="1" applyFill="1" applyBorder="1" applyAlignment="1">
      <alignment horizontal="left" shrinkToFit="1"/>
    </xf>
    <xf numFmtId="0" fontId="11" fillId="11" borderId="6" xfId="0" applyFont="1" applyFill="1" applyBorder="1" applyAlignment="1">
      <alignment horizontal="left"/>
    </xf>
    <xf numFmtId="0" fontId="11" fillId="11" borderId="5" xfId="0" applyFont="1" applyFill="1" applyBorder="1" applyAlignment="1">
      <alignment horizontal="left"/>
    </xf>
    <xf numFmtId="0" fontId="11" fillId="11" borderId="11" xfId="0" applyFont="1" applyFill="1" applyBorder="1" applyAlignment="1">
      <alignment horizontal="left"/>
    </xf>
    <xf numFmtId="4" fontId="17" fillId="11" borderId="3" xfId="0" applyNumberFormat="1" applyFont="1" applyFill="1" applyBorder="1" applyAlignment="1">
      <alignment horizontal="right"/>
    </xf>
    <xf numFmtId="0" fontId="17" fillId="11" borderId="3" xfId="0" applyFont="1" applyFill="1" applyBorder="1" applyAlignment="1">
      <alignment horizontal="right"/>
    </xf>
    <xf numFmtId="0" fontId="17" fillId="8" borderId="4" xfId="0" applyFont="1" applyFill="1" applyBorder="1" applyAlignment="1">
      <alignment horizontal="left"/>
    </xf>
    <xf numFmtId="0" fontId="17" fillId="7" borderId="8" xfId="0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/>
    </xf>
    <xf numFmtId="0" fontId="17" fillId="7" borderId="10" xfId="0" applyFont="1" applyFill="1" applyBorder="1" applyAlignment="1">
      <alignment horizontal="center"/>
    </xf>
    <xf numFmtId="4" fontId="18" fillId="7" borderId="3" xfId="0" applyNumberFormat="1" applyFont="1" applyFill="1" applyBorder="1" applyAlignment="1">
      <alignment horizontal="right"/>
    </xf>
    <xf numFmtId="0" fontId="18" fillId="7" borderId="3" xfId="0" applyFont="1" applyFill="1" applyBorder="1" applyAlignment="1">
      <alignment horizontal="right"/>
    </xf>
    <xf numFmtId="0" fontId="17" fillId="8" borderId="3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7" fillId="11" borderId="1" xfId="0" applyFont="1" applyFill="1" applyBorder="1" applyAlignment="1">
      <alignment horizontal="left" shrinkToFit="1"/>
    </xf>
    <xf numFmtId="0" fontId="17" fillId="11" borderId="2" xfId="0" applyFont="1" applyFill="1" applyBorder="1" applyAlignment="1">
      <alignment horizontal="left" shrinkToFit="1"/>
    </xf>
    <xf numFmtId="0" fontId="17" fillId="11" borderId="4" xfId="0" applyFont="1" applyFill="1" applyBorder="1" applyAlignment="1">
      <alignment horizontal="left" shrinkToFit="1"/>
    </xf>
    <xf numFmtId="0" fontId="28" fillId="0" borderId="0" xfId="0" applyFont="1" applyAlignment="1">
      <alignment horizontal="center" vertical="center" wrapText="1"/>
    </xf>
  </cellXfs>
  <cellStyles count="2">
    <cellStyle name="Normalno" xfId="0" builtinId="0"/>
    <cellStyle name="Normalno 4" xfId="1" xr:uid="{03C12450-20C9-43C8-BA9C-D1D3CA4546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9"/>
  <sheetViews>
    <sheetView tabSelected="1" workbookViewId="0">
      <selection activeCell="J10" sqref="J10"/>
    </sheetView>
  </sheetViews>
  <sheetFormatPr defaultRowHeight="15" x14ac:dyDescent="0.25"/>
  <cols>
    <col min="5" max="5" width="22.140625" customWidth="1"/>
    <col min="6" max="12" width="25.28515625" customWidth="1"/>
  </cols>
  <sheetData>
    <row r="2" spans="1:13" s="145" customFormat="1" ht="14.25" x14ac:dyDescent="0.2">
      <c r="A2" s="191" t="s">
        <v>239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3" s="145" customFormat="1" ht="14.25" x14ac:dyDescent="0.2">
      <c r="A3" s="191" t="s">
        <v>233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5" spans="1:13" ht="42" customHeight="1" x14ac:dyDescent="0.25">
      <c r="A5" s="328" t="s">
        <v>234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</row>
    <row r="6" spans="1:13" ht="18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 ht="15.75" x14ac:dyDescent="0.25">
      <c r="A7" s="196" t="s">
        <v>40</v>
      </c>
      <c r="B7" s="196"/>
      <c r="C7" s="196"/>
      <c r="D7" s="196"/>
      <c r="E7" s="196"/>
      <c r="F7" s="196"/>
      <c r="G7" s="196"/>
      <c r="H7" s="196"/>
      <c r="I7" s="196"/>
      <c r="J7" s="196"/>
      <c r="K7" s="197"/>
      <c r="L7" s="197"/>
    </row>
    <row r="8" spans="1:13" ht="15.75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178"/>
      <c r="L8" s="178"/>
    </row>
    <row r="9" spans="1:13" x14ac:dyDescent="0.25">
      <c r="A9" s="201" t="s">
        <v>215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</row>
    <row r="10" spans="1:13" x14ac:dyDescent="0.25">
      <c r="A10" s="180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</row>
    <row r="11" spans="1:13" x14ac:dyDescent="0.25">
      <c r="A11" s="202" t="s">
        <v>216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</row>
    <row r="12" spans="1:13" ht="18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6"/>
      <c r="L12" s="6"/>
    </row>
    <row r="13" spans="1:13" ht="18" customHeight="1" x14ac:dyDescent="0.25">
      <c r="A13" s="189" t="s">
        <v>49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</row>
    <row r="14" spans="1:13" ht="18" x14ac:dyDescent="0.25">
      <c r="A14" s="1"/>
      <c r="B14" s="2"/>
      <c r="C14" s="2"/>
      <c r="D14" s="2"/>
      <c r="E14" s="7"/>
      <c r="F14" s="8"/>
      <c r="G14" s="8"/>
      <c r="H14" s="8"/>
      <c r="I14" s="8"/>
      <c r="J14" s="8"/>
      <c r="K14" s="8"/>
      <c r="L14" s="32" t="s">
        <v>50</v>
      </c>
    </row>
    <row r="15" spans="1:13" ht="25.5" x14ac:dyDescent="0.25">
      <c r="A15" s="27"/>
      <c r="B15" s="28"/>
      <c r="C15" s="28"/>
      <c r="D15" s="29"/>
      <c r="E15" s="30"/>
      <c r="F15" s="4" t="s">
        <v>56</v>
      </c>
      <c r="G15" s="4" t="s">
        <v>68</v>
      </c>
      <c r="H15" s="4" t="s">
        <v>66</v>
      </c>
      <c r="I15" s="4" t="s">
        <v>67</v>
      </c>
      <c r="J15" s="4" t="s">
        <v>14</v>
      </c>
      <c r="K15" s="4" t="s">
        <v>15</v>
      </c>
      <c r="L15" s="4" t="s">
        <v>16</v>
      </c>
    </row>
    <row r="16" spans="1:13" x14ac:dyDescent="0.25">
      <c r="A16" s="198" t="s">
        <v>0</v>
      </c>
      <c r="B16" s="195"/>
      <c r="C16" s="195"/>
      <c r="D16" s="195"/>
      <c r="E16" s="199"/>
      <c r="F16" s="38">
        <f>F17+F18</f>
        <v>11823741.73</v>
      </c>
      <c r="G16" s="38">
        <f t="shared" ref="G16:L16" si="0">G17+G18</f>
        <v>1569280.2083748092</v>
      </c>
      <c r="H16" s="38">
        <f t="shared" si="0"/>
        <v>11981215.5</v>
      </c>
      <c r="I16" s="38">
        <f t="shared" si="0"/>
        <v>1590180.569380848</v>
      </c>
      <c r="J16" s="38">
        <f t="shared" si="0"/>
        <v>1572634.55</v>
      </c>
      <c r="K16" s="38">
        <f t="shared" si="0"/>
        <v>1518700</v>
      </c>
      <c r="L16" s="38">
        <f t="shared" si="0"/>
        <v>1530837</v>
      </c>
      <c r="M16" s="39"/>
    </row>
    <row r="17" spans="1:13" x14ac:dyDescent="0.25">
      <c r="A17" s="200" t="s">
        <v>1</v>
      </c>
      <c r="B17" s="188"/>
      <c r="C17" s="188"/>
      <c r="D17" s="188"/>
      <c r="E17" s="193"/>
      <c r="F17" s="40">
        <v>11802249.25</v>
      </c>
      <c r="G17" s="40">
        <f>F17/7.5345</f>
        <v>1566427.666069414</v>
      </c>
      <c r="H17" s="40">
        <v>11977215.5</v>
      </c>
      <c r="I17" s="40">
        <f>H17/7.5345</f>
        <v>1589649.6781471896</v>
      </c>
      <c r="J17" s="40">
        <f>1571904.57</f>
        <v>1571904.57</v>
      </c>
      <c r="K17" s="40">
        <v>1518200</v>
      </c>
      <c r="L17" s="40">
        <v>1530250</v>
      </c>
      <c r="M17" s="39"/>
    </row>
    <row r="18" spans="1:13" x14ac:dyDescent="0.25">
      <c r="A18" s="192" t="s">
        <v>2</v>
      </c>
      <c r="B18" s="193"/>
      <c r="C18" s="193"/>
      <c r="D18" s="193"/>
      <c r="E18" s="193"/>
      <c r="F18" s="40">
        <v>21492.48</v>
      </c>
      <c r="G18" s="40">
        <f>F18/7.5345</f>
        <v>2852.5423053951818</v>
      </c>
      <c r="H18" s="40">
        <v>4000</v>
      </c>
      <c r="I18" s="40">
        <f>H18/7.5345</f>
        <v>530.89123365850423</v>
      </c>
      <c r="J18" s="40">
        <f>729.98</f>
        <v>729.98</v>
      </c>
      <c r="K18" s="40">
        <v>500</v>
      </c>
      <c r="L18" s="40">
        <v>587</v>
      </c>
      <c r="M18" s="39"/>
    </row>
    <row r="19" spans="1:13" x14ac:dyDescent="0.25">
      <c r="A19" s="33" t="s">
        <v>3</v>
      </c>
      <c r="B19" s="34"/>
      <c r="C19" s="34"/>
      <c r="D19" s="34"/>
      <c r="E19" s="34"/>
      <c r="F19" s="38">
        <f>F20+F21</f>
        <v>13379793.32</v>
      </c>
      <c r="G19" s="38">
        <f t="shared" ref="G19:L19" si="1">G20+G21</f>
        <v>1775803.7454376533</v>
      </c>
      <c r="H19" s="38">
        <f t="shared" si="1"/>
        <v>12311217.300000001</v>
      </c>
      <c r="I19" s="38">
        <f t="shared" si="1"/>
        <v>1633979.3350587296</v>
      </c>
      <c r="J19" s="38">
        <f t="shared" si="1"/>
        <v>1572634.5499999998</v>
      </c>
      <c r="K19" s="38">
        <f t="shared" si="1"/>
        <v>1518700</v>
      </c>
      <c r="L19" s="38">
        <f t="shared" si="1"/>
        <v>1530837</v>
      </c>
      <c r="M19" s="39"/>
    </row>
    <row r="20" spans="1:13" x14ac:dyDescent="0.25">
      <c r="A20" s="187" t="s">
        <v>4</v>
      </c>
      <c r="B20" s="188"/>
      <c r="C20" s="188"/>
      <c r="D20" s="188"/>
      <c r="E20" s="188"/>
      <c r="F20" s="40">
        <v>5596770.75</v>
      </c>
      <c r="G20" s="40">
        <f>F20/7.5345</f>
        <v>742819.13199283287</v>
      </c>
      <c r="H20" s="40">
        <v>7161617.2999999998</v>
      </c>
      <c r="I20" s="40">
        <f>H20/7.5345</f>
        <v>950509.96084677149</v>
      </c>
      <c r="J20" s="40">
        <f>1016791.44</f>
        <v>1016791.44</v>
      </c>
      <c r="K20" s="40">
        <v>1130244.83</v>
      </c>
      <c r="L20" s="155">
        <v>1018499.32</v>
      </c>
      <c r="M20" s="39"/>
    </row>
    <row r="21" spans="1:13" x14ac:dyDescent="0.25">
      <c r="A21" s="192" t="s">
        <v>5</v>
      </c>
      <c r="B21" s="193"/>
      <c r="C21" s="193"/>
      <c r="D21" s="193"/>
      <c r="E21" s="193"/>
      <c r="F21" s="40">
        <v>7783022.5700000003</v>
      </c>
      <c r="G21" s="40">
        <f>F21/7.5345</f>
        <v>1032984.6134448205</v>
      </c>
      <c r="H21" s="40">
        <v>5149600</v>
      </c>
      <c r="I21" s="40">
        <f>H21/7.5345</f>
        <v>683469.37421195826</v>
      </c>
      <c r="J21" s="40">
        <v>555843.11</v>
      </c>
      <c r="K21" s="40">
        <v>388455.17</v>
      </c>
      <c r="L21" s="155">
        <v>512337.68</v>
      </c>
      <c r="M21" s="39"/>
    </row>
    <row r="22" spans="1:13" x14ac:dyDescent="0.25">
      <c r="A22" s="194" t="s">
        <v>6</v>
      </c>
      <c r="B22" s="195"/>
      <c r="C22" s="195"/>
      <c r="D22" s="195"/>
      <c r="E22" s="195"/>
      <c r="F22" s="38">
        <f>F16-F19</f>
        <v>-1556051.5899999999</v>
      </c>
      <c r="G22" s="38">
        <f>G16-G19</f>
        <v>-206523.53706284403</v>
      </c>
      <c r="H22" s="38">
        <f t="shared" ref="H22:L22" si="2">H16-H19</f>
        <v>-330001.80000000075</v>
      </c>
      <c r="I22" s="38">
        <f t="shared" si="2"/>
        <v>-43798.76567788166</v>
      </c>
      <c r="J22" s="38">
        <f t="shared" si="2"/>
        <v>0</v>
      </c>
      <c r="K22" s="38">
        <f t="shared" si="2"/>
        <v>0</v>
      </c>
      <c r="L22" s="38">
        <f t="shared" si="2"/>
        <v>0</v>
      </c>
      <c r="M22" s="39"/>
    </row>
    <row r="23" spans="1:13" ht="18" x14ac:dyDescent="0.25">
      <c r="A23" s="5"/>
      <c r="B23" s="9"/>
      <c r="C23" s="9"/>
      <c r="D23" s="9"/>
      <c r="E23" s="9"/>
      <c r="F23" s="9"/>
      <c r="G23" s="9"/>
      <c r="H23" s="9"/>
      <c r="I23" s="9"/>
      <c r="J23" s="154"/>
      <c r="K23" s="3"/>
      <c r="L23" s="3"/>
    </row>
    <row r="24" spans="1:13" ht="18" customHeight="1" x14ac:dyDescent="0.25">
      <c r="A24" s="189" t="s">
        <v>48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</row>
    <row r="25" spans="1:13" ht="18" x14ac:dyDescent="0.25">
      <c r="A25" s="5"/>
      <c r="B25" s="9"/>
      <c r="C25" s="9"/>
      <c r="D25" s="9"/>
      <c r="E25" s="9"/>
      <c r="F25" s="9"/>
      <c r="G25" s="9"/>
      <c r="H25" s="9"/>
      <c r="I25" s="9"/>
      <c r="J25" s="3"/>
      <c r="K25" s="3"/>
      <c r="L25" s="3"/>
    </row>
    <row r="26" spans="1:13" ht="25.5" x14ac:dyDescent="0.25">
      <c r="A26" s="27"/>
      <c r="B26" s="28"/>
      <c r="C26" s="28"/>
      <c r="D26" s="29"/>
      <c r="E26" s="30"/>
      <c r="F26" s="4" t="s">
        <v>12</v>
      </c>
      <c r="G26" s="4"/>
      <c r="H26" s="4" t="s">
        <v>13</v>
      </c>
      <c r="I26" s="4"/>
      <c r="J26" s="4" t="s">
        <v>14</v>
      </c>
      <c r="K26" s="4" t="s">
        <v>15</v>
      </c>
      <c r="L26" s="4" t="s">
        <v>16</v>
      </c>
    </row>
    <row r="27" spans="1:13" ht="15.75" customHeight="1" x14ac:dyDescent="0.25">
      <c r="A27" s="200" t="s">
        <v>8</v>
      </c>
      <c r="B27" s="203"/>
      <c r="C27" s="203"/>
      <c r="D27" s="203"/>
      <c r="E27" s="204"/>
      <c r="F27" s="26"/>
      <c r="G27" s="26"/>
      <c r="H27" s="26"/>
      <c r="I27" s="26"/>
      <c r="J27" s="26"/>
      <c r="K27" s="26"/>
      <c r="L27" s="26"/>
    </row>
    <row r="28" spans="1:13" x14ac:dyDescent="0.25">
      <c r="A28" s="200" t="s">
        <v>9</v>
      </c>
      <c r="B28" s="188"/>
      <c r="C28" s="188"/>
      <c r="D28" s="188"/>
      <c r="E28" s="188"/>
      <c r="F28" s="26"/>
      <c r="G28" s="26"/>
      <c r="H28" s="26"/>
      <c r="I28" s="26"/>
      <c r="J28" s="26"/>
      <c r="K28" s="26"/>
      <c r="L28" s="26"/>
    </row>
    <row r="29" spans="1:13" x14ac:dyDescent="0.25">
      <c r="A29" s="194" t="s">
        <v>10</v>
      </c>
      <c r="B29" s="195"/>
      <c r="C29" s="195"/>
      <c r="D29" s="195"/>
      <c r="E29" s="195"/>
      <c r="F29" s="31">
        <v>0</v>
      </c>
      <c r="G29" s="31"/>
      <c r="H29" s="31">
        <v>0</v>
      </c>
      <c r="I29" s="31"/>
      <c r="J29" s="31">
        <v>0</v>
      </c>
      <c r="K29" s="31">
        <v>0</v>
      </c>
      <c r="L29" s="31">
        <v>0</v>
      </c>
    </row>
    <row r="30" spans="1:13" ht="18" x14ac:dyDescent="0.25">
      <c r="A30" s="24"/>
      <c r="B30" s="9"/>
      <c r="C30" s="9"/>
      <c r="D30" s="9"/>
      <c r="E30" s="9"/>
      <c r="F30" s="9"/>
      <c r="G30" s="9"/>
      <c r="H30" s="9"/>
      <c r="I30" s="9"/>
      <c r="J30" s="3"/>
      <c r="K30" s="3"/>
      <c r="L30" s="3"/>
    </row>
    <row r="31" spans="1:13" ht="18" customHeight="1" x14ac:dyDescent="0.25">
      <c r="A31" s="189" t="s">
        <v>53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</row>
    <row r="32" spans="1:13" ht="18" x14ac:dyDescent="0.25">
      <c r="A32" s="24"/>
      <c r="B32" s="9"/>
      <c r="C32" s="9"/>
      <c r="D32" s="9"/>
      <c r="E32" s="9"/>
      <c r="F32" s="9"/>
      <c r="G32" s="9"/>
      <c r="H32" s="9"/>
      <c r="I32" s="9"/>
      <c r="J32" s="3"/>
      <c r="K32" s="3"/>
      <c r="L32" s="3"/>
    </row>
    <row r="33" spans="1:12" ht="25.5" x14ac:dyDescent="0.25">
      <c r="A33" s="27"/>
      <c r="B33" s="28"/>
      <c r="C33" s="28"/>
      <c r="D33" s="29"/>
      <c r="E33" s="30"/>
      <c r="F33" s="4" t="s">
        <v>12</v>
      </c>
      <c r="G33" s="4"/>
      <c r="H33" s="4" t="s">
        <v>13</v>
      </c>
      <c r="I33" s="4"/>
      <c r="J33" s="4" t="s">
        <v>14</v>
      </c>
      <c r="K33" s="4" t="s">
        <v>15</v>
      </c>
      <c r="L33" s="4" t="s">
        <v>16</v>
      </c>
    </row>
    <row r="34" spans="1:12" x14ac:dyDescent="0.25">
      <c r="A34" s="208" t="s">
        <v>51</v>
      </c>
      <c r="B34" s="209"/>
      <c r="C34" s="209"/>
      <c r="D34" s="209"/>
      <c r="E34" s="210"/>
      <c r="F34" s="42">
        <v>2133840.27</v>
      </c>
      <c r="G34" s="42">
        <f>F34/7.5345</f>
        <v>283209.2733426239</v>
      </c>
      <c r="H34" s="42">
        <v>577788.68000000005</v>
      </c>
      <c r="I34" s="42">
        <f>H34/7.5345</f>
        <v>76685.736279779681</v>
      </c>
      <c r="J34" s="42"/>
      <c r="K34" s="42"/>
      <c r="L34" s="43"/>
    </row>
    <row r="35" spans="1:12" ht="30" customHeight="1" x14ac:dyDescent="0.25">
      <c r="A35" s="205" t="s">
        <v>7</v>
      </c>
      <c r="B35" s="206"/>
      <c r="C35" s="206"/>
      <c r="D35" s="206"/>
      <c r="E35" s="207"/>
      <c r="F35" s="44">
        <v>1556051.59</v>
      </c>
      <c r="G35" s="44">
        <f>F35/7.5345</f>
        <v>206523.53706284426</v>
      </c>
      <c r="H35" s="44">
        <v>330001.8</v>
      </c>
      <c r="I35" s="44">
        <f>H35/7.5345</f>
        <v>43798.76567788174</v>
      </c>
      <c r="J35" s="44"/>
      <c r="K35" s="44"/>
      <c r="L35" s="41"/>
    </row>
    <row r="36" spans="1:12" x14ac:dyDescent="0.25">
      <c r="F36" s="39"/>
      <c r="G36" s="39"/>
      <c r="H36" s="39"/>
      <c r="I36" s="39"/>
      <c r="J36" s="39"/>
      <c r="K36" s="39"/>
      <c r="L36" s="39"/>
    </row>
    <row r="37" spans="1:12" x14ac:dyDescent="0.25">
      <c r="F37" s="39"/>
      <c r="G37" s="39"/>
      <c r="H37" s="39"/>
      <c r="I37" s="39"/>
      <c r="J37" s="39"/>
      <c r="K37" s="39"/>
      <c r="L37" s="39"/>
    </row>
    <row r="38" spans="1:12" x14ac:dyDescent="0.25">
      <c r="A38" s="187" t="s">
        <v>11</v>
      </c>
      <c r="B38" s="188"/>
      <c r="C38" s="188"/>
      <c r="D38" s="188"/>
      <c r="E38" s="188"/>
      <c r="F38" s="40">
        <v>577788.68000000005</v>
      </c>
      <c r="G38" s="40">
        <f>F38/7.5345</f>
        <v>76685.736279779681</v>
      </c>
      <c r="H38" s="40">
        <v>0</v>
      </c>
      <c r="I38" s="40"/>
      <c r="J38" s="40">
        <v>0</v>
      </c>
      <c r="K38" s="40">
        <v>0</v>
      </c>
      <c r="L38" s="40">
        <v>0</v>
      </c>
    </row>
    <row r="39" spans="1:12" ht="11.25" customHeight="1" x14ac:dyDescent="0.25">
      <c r="A39" s="19"/>
      <c r="B39" s="20"/>
      <c r="C39" s="20"/>
      <c r="D39" s="20"/>
      <c r="E39" s="20"/>
      <c r="F39" s="21"/>
      <c r="G39" s="21"/>
      <c r="H39" s="21"/>
      <c r="I39" s="21"/>
      <c r="J39" s="21"/>
      <c r="K39" s="21"/>
      <c r="L39" s="21"/>
    </row>
  </sheetData>
  <mergeCells count="21">
    <mergeCell ref="A38:E38"/>
    <mergeCell ref="A27:E27"/>
    <mergeCell ref="A28:E28"/>
    <mergeCell ref="A29:E29"/>
    <mergeCell ref="A35:E35"/>
    <mergeCell ref="A34:E34"/>
    <mergeCell ref="A20:E20"/>
    <mergeCell ref="A13:L13"/>
    <mergeCell ref="A24:L24"/>
    <mergeCell ref="A31:L31"/>
    <mergeCell ref="A2:L2"/>
    <mergeCell ref="A3:L3"/>
    <mergeCell ref="A21:E21"/>
    <mergeCell ref="A22:E22"/>
    <mergeCell ref="A5:L5"/>
    <mergeCell ref="A7:L7"/>
    <mergeCell ref="A16:E16"/>
    <mergeCell ref="A17:E17"/>
    <mergeCell ref="A18:E18"/>
    <mergeCell ref="A9:L9"/>
    <mergeCell ref="A11:L11"/>
  </mergeCells>
  <pageMargins left="0.31496062992125984" right="0.31496062992125984" top="0.35433070866141736" bottom="0.35433070866141736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00"/>
  <sheetViews>
    <sheetView topLeftCell="C1" zoomScale="106" zoomScaleNormal="106" workbookViewId="0">
      <selection activeCell="J6" sqref="J6"/>
    </sheetView>
  </sheetViews>
  <sheetFormatPr defaultRowHeight="14.25" x14ac:dyDescent="0.2"/>
  <cols>
    <col min="1" max="1" width="7.5703125" style="145" bestFit="1" customWidth="1"/>
    <col min="2" max="2" width="8.5703125" style="145" bestFit="1" customWidth="1"/>
    <col min="3" max="3" width="5.42578125" style="145" bestFit="1" customWidth="1"/>
    <col min="4" max="9" width="25.28515625" style="145" customWidth="1"/>
    <col min="10" max="10" width="11.85546875" style="145" bestFit="1" customWidth="1"/>
    <col min="11" max="11" width="15.140625" style="145" bestFit="1" customWidth="1"/>
    <col min="12" max="16384" width="9.140625" style="145"/>
  </cols>
  <sheetData>
    <row r="2" spans="1:10" ht="15.75" customHeight="1" x14ac:dyDescent="0.2">
      <c r="A2" s="189" t="s">
        <v>40</v>
      </c>
      <c r="B2" s="189"/>
      <c r="C2" s="189"/>
      <c r="D2" s="189"/>
      <c r="E2" s="189"/>
      <c r="F2" s="189"/>
      <c r="G2" s="189"/>
      <c r="H2" s="189"/>
      <c r="I2" s="189"/>
      <c r="J2" s="183"/>
    </row>
    <row r="3" spans="1:10" ht="15.7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183"/>
    </row>
    <row r="4" spans="1:10" x14ac:dyDescent="0.2">
      <c r="A4" s="201" t="s">
        <v>217</v>
      </c>
      <c r="B4" s="201"/>
      <c r="C4" s="201"/>
      <c r="D4" s="201"/>
      <c r="E4" s="201"/>
      <c r="F4" s="201"/>
      <c r="G4" s="201"/>
      <c r="H4" s="201"/>
      <c r="I4" s="201"/>
    </row>
    <row r="5" spans="1:10" ht="15.75" x14ac:dyDescent="0.2">
      <c r="A5" s="37"/>
      <c r="B5" s="37"/>
      <c r="C5" s="37"/>
      <c r="D5" s="37"/>
      <c r="E5" s="37"/>
      <c r="F5" s="37"/>
      <c r="G5" s="37"/>
      <c r="H5" s="178"/>
      <c r="I5" s="178"/>
    </row>
    <row r="6" spans="1:10" x14ac:dyDescent="0.2">
      <c r="A6" s="202" t="s">
        <v>238</v>
      </c>
      <c r="B6" s="202"/>
      <c r="C6" s="202"/>
      <c r="D6" s="202"/>
      <c r="E6" s="202"/>
      <c r="F6" s="202"/>
      <c r="G6" s="202"/>
      <c r="H6" s="202"/>
      <c r="I6" s="202"/>
    </row>
    <row r="7" spans="1:10" ht="15.75" x14ac:dyDescent="0.2">
      <c r="A7" s="37"/>
      <c r="B7" s="37"/>
      <c r="C7" s="37"/>
      <c r="D7" s="37"/>
      <c r="E7" s="37"/>
      <c r="F7" s="37"/>
      <c r="G7" s="37"/>
      <c r="H7" s="178"/>
      <c r="I7" s="178"/>
    </row>
    <row r="8" spans="1:10" ht="18" customHeight="1" x14ac:dyDescent="0.2">
      <c r="A8" s="189" t="s">
        <v>18</v>
      </c>
      <c r="B8" s="212"/>
      <c r="C8" s="212"/>
      <c r="D8" s="212"/>
      <c r="E8" s="212"/>
      <c r="F8" s="212"/>
      <c r="G8" s="212"/>
      <c r="H8" s="212"/>
      <c r="I8" s="212"/>
    </row>
    <row r="9" spans="1:10" ht="18" customHeight="1" x14ac:dyDescent="0.2">
      <c r="A9" s="37"/>
      <c r="B9" s="179"/>
      <c r="C9" s="179"/>
      <c r="D9" s="179"/>
      <c r="E9" s="179"/>
      <c r="F9" s="179"/>
      <c r="G9" s="179"/>
      <c r="H9" s="179"/>
      <c r="I9" s="179"/>
    </row>
    <row r="10" spans="1:10" ht="18" customHeight="1" x14ac:dyDescent="0.2">
      <c r="A10" s="202" t="s">
        <v>218</v>
      </c>
      <c r="B10" s="202"/>
      <c r="C10" s="202"/>
      <c r="D10" s="202"/>
      <c r="E10" s="202"/>
      <c r="F10" s="202"/>
      <c r="G10" s="202"/>
      <c r="H10" s="202"/>
      <c r="I10" s="202"/>
    </row>
    <row r="11" spans="1:10" ht="18" customHeight="1" x14ac:dyDescent="0.2">
      <c r="A11" s="202" t="s">
        <v>219</v>
      </c>
      <c r="B11" s="202"/>
      <c r="C11" s="202"/>
      <c r="D11" s="202"/>
      <c r="E11" s="202"/>
      <c r="F11" s="202"/>
      <c r="G11" s="202"/>
      <c r="H11" s="202"/>
      <c r="I11" s="202"/>
    </row>
    <row r="12" spans="1:10" ht="18" x14ac:dyDescent="0.2">
      <c r="A12" s="5"/>
      <c r="B12" s="5"/>
      <c r="C12" s="5"/>
      <c r="D12" s="5"/>
      <c r="E12" s="5"/>
      <c r="F12" s="5"/>
      <c r="G12" s="5"/>
      <c r="H12" s="6"/>
      <c r="I12" s="6"/>
    </row>
    <row r="13" spans="1:10" ht="15" x14ac:dyDescent="0.2">
      <c r="A13" s="189" t="s">
        <v>220</v>
      </c>
      <c r="B13" s="211"/>
      <c r="C13" s="211"/>
      <c r="D13" s="211"/>
      <c r="E13" s="211"/>
      <c r="F13" s="211"/>
      <c r="G13" s="211"/>
      <c r="H13" s="211"/>
      <c r="I13" s="211"/>
    </row>
    <row r="14" spans="1:10" ht="18" x14ac:dyDescent="0.2">
      <c r="A14" s="5"/>
      <c r="B14" s="5"/>
      <c r="C14" s="5"/>
      <c r="D14" s="5"/>
      <c r="E14" s="5"/>
      <c r="F14" s="5"/>
      <c r="G14" s="5"/>
      <c r="H14" s="6"/>
      <c r="I14" s="6"/>
    </row>
    <row r="15" spans="1:10" ht="25.5" x14ac:dyDescent="0.2">
      <c r="A15" s="23" t="s">
        <v>19</v>
      </c>
      <c r="B15" s="22" t="s">
        <v>20</v>
      </c>
      <c r="C15" s="22" t="s">
        <v>21</v>
      </c>
      <c r="D15" s="22" t="s">
        <v>17</v>
      </c>
      <c r="E15" s="22" t="s">
        <v>12</v>
      </c>
      <c r="F15" s="23" t="s">
        <v>13</v>
      </c>
      <c r="G15" s="23" t="s">
        <v>14</v>
      </c>
      <c r="H15" s="23" t="s">
        <v>15</v>
      </c>
      <c r="I15" s="23" t="s">
        <v>16</v>
      </c>
    </row>
    <row r="16" spans="1:10" ht="15.75" customHeight="1" x14ac:dyDescent="0.2">
      <c r="A16" s="13">
        <v>6</v>
      </c>
      <c r="B16" s="13"/>
      <c r="C16" s="136"/>
      <c r="D16" s="13" t="s">
        <v>22</v>
      </c>
      <c r="E16" s="48">
        <f>E17+E20+E24+E28+E32</f>
        <v>1566427.666069414</v>
      </c>
      <c r="F16" s="48">
        <f>F17+F20+F24+F28+F32</f>
        <v>1589649.6816563804</v>
      </c>
      <c r="G16" s="140">
        <f>G17+G20+G24+G28+G32</f>
        <v>1571904.5700000003</v>
      </c>
      <c r="H16" s="140">
        <f>H17+H20+H24+H28+H32</f>
        <v>1518200</v>
      </c>
      <c r="I16" s="140">
        <f>I17+I20+I24+I28+I32</f>
        <v>1530250</v>
      </c>
    </row>
    <row r="17" spans="1:10" ht="15.75" customHeight="1" x14ac:dyDescent="0.2">
      <c r="A17" s="13"/>
      <c r="B17" s="17">
        <v>61</v>
      </c>
      <c r="C17" s="137"/>
      <c r="D17" s="17" t="s">
        <v>23</v>
      </c>
      <c r="E17" s="45">
        <f>798511.73/7.5345</f>
        <v>105980.71935762159</v>
      </c>
      <c r="F17" s="46">
        <f>880000/7.5345</f>
        <v>116796.07140487092</v>
      </c>
      <c r="G17" s="129">
        <f>153427.57</f>
        <v>153427.57</v>
      </c>
      <c r="H17" s="129">
        <v>155000</v>
      </c>
      <c r="I17" s="129">
        <v>150000</v>
      </c>
    </row>
    <row r="18" spans="1:10" x14ac:dyDescent="0.2">
      <c r="A18" s="126"/>
      <c r="B18" s="126"/>
      <c r="C18" s="127" t="s">
        <v>198</v>
      </c>
      <c r="D18" s="128" t="s">
        <v>24</v>
      </c>
      <c r="E18" s="60">
        <f>E17</f>
        <v>105980.71935762159</v>
      </c>
      <c r="F18" s="129">
        <f>F17</f>
        <v>116796.07140487092</v>
      </c>
      <c r="G18" s="129">
        <f>G17</f>
        <v>153427.57</v>
      </c>
      <c r="H18" s="129">
        <f>H17</f>
        <v>155000</v>
      </c>
      <c r="I18" s="129">
        <f>I17</f>
        <v>150000</v>
      </c>
      <c r="J18" s="171"/>
    </row>
    <row r="19" spans="1:10" x14ac:dyDescent="0.2">
      <c r="A19" s="126"/>
      <c r="B19" s="126"/>
      <c r="C19" s="127"/>
      <c r="D19" s="128"/>
      <c r="E19" s="60"/>
      <c r="F19" s="129"/>
      <c r="G19" s="129"/>
      <c r="H19" s="129"/>
      <c r="I19" s="129"/>
    </row>
    <row r="20" spans="1:10" ht="38.25" x14ac:dyDescent="0.2">
      <c r="A20" s="14"/>
      <c r="B20" s="14">
        <v>63</v>
      </c>
      <c r="C20" s="138"/>
      <c r="D20" s="18" t="s">
        <v>57</v>
      </c>
      <c r="E20" s="45">
        <f>8358284.32/7.5345</f>
        <v>1109334.968478333</v>
      </c>
      <c r="F20" s="46">
        <v>932293.52</v>
      </c>
      <c r="G20" s="129">
        <f>776016.99</f>
        <v>776016.99</v>
      </c>
      <c r="H20" s="129">
        <v>700000</v>
      </c>
      <c r="I20" s="129">
        <v>720000</v>
      </c>
    </row>
    <row r="21" spans="1:10" x14ac:dyDescent="0.2">
      <c r="A21" s="14"/>
      <c r="B21" s="14"/>
      <c r="C21" s="127" t="s">
        <v>198</v>
      </c>
      <c r="D21" s="128" t="s">
        <v>24</v>
      </c>
      <c r="E21" s="45">
        <f>E20-E22</f>
        <v>254.82847833284177</v>
      </c>
      <c r="F21" s="46">
        <v>265.45</v>
      </c>
      <c r="G21" s="129">
        <f>265.45</f>
        <v>265.45</v>
      </c>
      <c r="H21" s="129">
        <v>265.45</v>
      </c>
      <c r="I21" s="129">
        <v>254.83</v>
      </c>
    </row>
    <row r="22" spans="1:10" x14ac:dyDescent="0.2">
      <c r="A22" s="126"/>
      <c r="B22" s="126"/>
      <c r="C22" s="127" t="s">
        <v>199</v>
      </c>
      <c r="D22" s="128" t="s">
        <v>200</v>
      </c>
      <c r="E22" s="60">
        <f>1109080.1+0.04</f>
        <v>1109080.1400000001</v>
      </c>
      <c r="F22" s="129">
        <v>932028.07</v>
      </c>
      <c r="G22" s="129">
        <f>G20-G21</f>
        <v>775751.54</v>
      </c>
      <c r="H22" s="129">
        <f>H20-H21</f>
        <v>699734.55</v>
      </c>
      <c r="I22" s="129">
        <f>I20-I21</f>
        <v>719745.17</v>
      </c>
    </row>
    <row r="23" spans="1:10" x14ac:dyDescent="0.2">
      <c r="A23" s="126"/>
      <c r="B23" s="126"/>
      <c r="C23" s="127"/>
      <c r="D23" s="128"/>
      <c r="E23" s="60"/>
      <c r="F23" s="129"/>
      <c r="G23" s="129"/>
      <c r="H23" s="129"/>
      <c r="I23" s="129"/>
    </row>
    <row r="24" spans="1:10" x14ac:dyDescent="0.2">
      <c r="A24" s="14"/>
      <c r="B24" s="14">
        <v>64</v>
      </c>
      <c r="C24" s="138"/>
      <c r="D24" s="15" t="s">
        <v>54</v>
      </c>
      <c r="E24" s="45">
        <f>1632877.55/7.5345</f>
        <v>216720.09423319396</v>
      </c>
      <c r="F24" s="46">
        <f>2934350/7.5345</f>
        <v>389455.17287145794</v>
      </c>
      <c r="G24" s="129">
        <f>498336.32</f>
        <v>498336.32</v>
      </c>
      <c r="H24" s="129">
        <v>518000</v>
      </c>
      <c r="I24" s="129">
        <v>520000</v>
      </c>
    </row>
    <row r="25" spans="1:10" x14ac:dyDescent="0.2">
      <c r="A25" s="14"/>
      <c r="B25" s="14"/>
      <c r="C25" s="127" t="s">
        <v>198</v>
      </c>
      <c r="D25" s="128" t="s">
        <v>24</v>
      </c>
      <c r="E25" s="45">
        <f>E24-E26</f>
        <v>214676.74430950958</v>
      </c>
      <c r="F25" s="46">
        <f>F24-F26</f>
        <v>386601.63287145796</v>
      </c>
      <c r="G25" s="129">
        <f>G24-G26</f>
        <v>495549.14</v>
      </c>
      <c r="H25" s="129">
        <f>H24-H26</f>
        <v>515199</v>
      </c>
      <c r="I25" s="129">
        <f>I24-I26</f>
        <v>517146</v>
      </c>
    </row>
    <row r="26" spans="1:10" x14ac:dyDescent="0.2">
      <c r="A26" s="126"/>
      <c r="B26" s="126"/>
      <c r="C26" s="127" t="s">
        <v>201</v>
      </c>
      <c r="D26" s="128" t="s">
        <v>202</v>
      </c>
      <c r="E26" s="60">
        <f>15395.62/7.5345</f>
        <v>2043.3499236843852</v>
      </c>
      <c r="F26" s="129">
        <v>2853.54</v>
      </c>
      <c r="G26" s="129">
        <f>2787.18</f>
        <v>2787.18</v>
      </c>
      <c r="H26" s="129">
        <v>2801</v>
      </c>
      <c r="I26" s="129">
        <v>2854</v>
      </c>
    </row>
    <row r="27" spans="1:10" x14ac:dyDescent="0.2">
      <c r="A27" s="126"/>
      <c r="B27" s="126"/>
      <c r="C27" s="127"/>
      <c r="D27" s="128"/>
      <c r="E27" s="60"/>
      <c r="F27" s="129"/>
      <c r="G27" s="129"/>
      <c r="H27" s="129"/>
      <c r="I27" s="129"/>
    </row>
    <row r="28" spans="1:10" ht="51" x14ac:dyDescent="0.2">
      <c r="A28" s="14"/>
      <c r="B28" s="14">
        <v>65</v>
      </c>
      <c r="C28" s="138"/>
      <c r="D28" s="18" t="s">
        <v>59</v>
      </c>
      <c r="E28" s="45">
        <f>986775.65/7.5345</f>
        <v>130967.63554316809</v>
      </c>
      <c r="F28" s="46">
        <f>1134500/7.5345</f>
        <v>150574.02614639324</v>
      </c>
      <c r="G28" s="129">
        <f>143924.61</f>
        <v>143924.60999999999</v>
      </c>
      <c r="H28" s="129">
        <v>145000</v>
      </c>
      <c r="I28" s="129">
        <v>140000</v>
      </c>
    </row>
    <row r="29" spans="1:10" x14ac:dyDescent="0.2">
      <c r="A29" s="14"/>
      <c r="B29" s="14"/>
      <c r="C29" s="127" t="s">
        <v>198</v>
      </c>
      <c r="D29" s="128" t="s">
        <v>24</v>
      </c>
      <c r="E29" s="45">
        <f>E28-E30</f>
        <v>25090.700112814389</v>
      </c>
      <c r="F29" s="46">
        <f>F28-F30</f>
        <v>22881.41614639324</v>
      </c>
      <c r="G29" s="129">
        <f>G28-G30</f>
        <v>22854.859999999986</v>
      </c>
      <c r="H29" s="129">
        <f>H28-H30</f>
        <v>21990</v>
      </c>
      <c r="I29" s="129">
        <f>I28-I30</f>
        <v>20000</v>
      </c>
    </row>
    <row r="30" spans="1:10" x14ac:dyDescent="0.2">
      <c r="A30" s="126"/>
      <c r="B30" s="126"/>
      <c r="C30" s="127" t="s">
        <v>201</v>
      </c>
      <c r="D30" s="128" t="s">
        <v>202</v>
      </c>
      <c r="E30" s="45">
        <f>797729.77/7.5345</f>
        <v>105876.9354303537</v>
      </c>
      <c r="F30" s="46">
        <v>127692.61</v>
      </c>
      <c r="G30" s="129">
        <f>121069.75</f>
        <v>121069.75</v>
      </c>
      <c r="H30" s="129">
        <v>123010</v>
      </c>
      <c r="I30" s="129">
        <v>120000</v>
      </c>
    </row>
    <row r="31" spans="1:10" x14ac:dyDescent="0.2">
      <c r="A31" s="126"/>
      <c r="B31" s="126"/>
      <c r="C31" s="127"/>
      <c r="D31" s="128"/>
      <c r="E31" s="45"/>
      <c r="F31" s="46"/>
      <c r="G31" s="129"/>
      <c r="H31" s="129"/>
      <c r="I31" s="129"/>
    </row>
    <row r="32" spans="1:10" ht="51" x14ac:dyDescent="0.2">
      <c r="A32" s="14"/>
      <c r="B32" s="14">
        <v>66</v>
      </c>
      <c r="C32" s="138"/>
      <c r="D32" s="18" t="s">
        <v>60</v>
      </c>
      <c r="E32" s="45">
        <f>25800/7.5345</f>
        <v>3424.248457097352</v>
      </c>
      <c r="F32" s="46">
        <f>4000/7.5345</f>
        <v>530.89123365850423</v>
      </c>
      <c r="G32" s="129">
        <f>199.08</f>
        <v>199.08</v>
      </c>
      <c r="H32" s="129">
        <v>200</v>
      </c>
      <c r="I32" s="129">
        <v>250</v>
      </c>
    </row>
    <row r="33" spans="1:9" x14ac:dyDescent="0.2">
      <c r="A33" s="126"/>
      <c r="B33" s="126"/>
      <c r="C33" s="127" t="s">
        <v>198</v>
      </c>
      <c r="D33" s="128" t="s">
        <v>24</v>
      </c>
      <c r="E33" s="60">
        <f>E32</f>
        <v>3424.248457097352</v>
      </c>
      <c r="F33" s="129">
        <f>F32</f>
        <v>530.89123365850423</v>
      </c>
      <c r="G33" s="129">
        <f>G32</f>
        <v>199.08</v>
      </c>
      <c r="H33" s="129">
        <f>H32</f>
        <v>200</v>
      </c>
      <c r="I33" s="129">
        <f>I32</f>
        <v>250</v>
      </c>
    </row>
    <row r="34" spans="1:9" x14ac:dyDescent="0.2">
      <c r="A34" s="126"/>
      <c r="B34" s="126"/>
      <c r="C34" s="127"/>
      <c r="D34" s="128"/>
      <c r="E34" s="60"/>
      <c r="F34" s="60"/>
      <c r="G34" s="60"/>
      <c r="H34" s="60"/>
      <c r="I34" s="60"/>
    </row>
    <row r="35" spans="1:9" ht="25.5" x14ac:dyDescent="0.2">
      <c r="A35" s="16">
        <v>7</v>
      </c>
      <c r="B35" s="16"/>
      <c r="C35" s="139"/>
      <c r="D35" s="35" t="s">
        <v>25</v>
      </c>
      <c r="E35" s="48">
        <f>E36</f>
        <v>2852.5423053951818</v>
      </c>
      <c r="F35" s="48">
        <f t="shared" ref="F35:I35" si="0">F36</f>
        <v>530.89123365850423</v>
      </c>
      <c r="G35" s="140">
        <f t="shared" si="0"/>
        <v>729.98</v>
      </c>
      <c r="H35" s="140">
        <f t="shared" si="0"/>
        <v>500</v>
      </c>
      <c r="I35" s="140">
        <f t="shared" si="0"/>
        <v>587</v>
      </c>
    </row>
    <row r="36" spans="1:9" ht="38.25" x14ac:dyDescent="0.2">
      <c r="A36" s="17"/>
      <c r="B36" s="17">
        <v>72</v>
      </c>
      <c r="C36" s="137"/>
      <c r="D36" s="36" t="s">
        <v>58</v>
      </c>
      <c r="E36" s="45">
        <f>21492.48/7.5345</f>
        <v>2852.5423053951818</v>
      </c>
      <c r="F36" s="46">
        <f>4000/7.5345</f>
        <v>530.89123365850423</v>
      </c>
      <c r="G36" s="129">
        <f>729.98</f>
        <v>729.98</v>
      </c>
      <c r="H36" s="129">
        <v>500</v>
      </c>
      <c r="I36" s="151">
        <v>587</v>
      </c>
    </row>
    <row r="37" spans="1:9" x14ac:dyDescent="0.2">
      <c r="A37" s="130"/>
      <c r="B37" s="130"/>
      <c r="C37" s="127" t="s">
        <v>198</v>
      </c>
      <c r="D37" s="128" t="s">
        <v>24</v>
      </c>
      <c r="E37" s="60">
        <f>E36</f>
        <v>2852.5423053951818</v>
      </c>
      <c r="F37" s="129">
        <f>F36</f>
        <v>530.89123365850423</v>
      </c>
      <c r="G37" s="129">
        <f>G36</f>
        <v>729.98</v>
      </c>
      <c r="H37" s="129">
        <f>H36</f>
        <v>500</v>
      </c>
      <c r="I37" s="151">
        <f>I36</f>
        <v>587</v>
      </c>
    </row>
    <row r="38" spans="1:9" x14ac:dyDescent="0.2">
      <c r="C38" s="172"/>
      <c r="H38" s="171"/>
      <c r="I38" s="171"/>
    </row>
    <row r="40" spans="1:9" ht="15" x14ac:dyDescent="0.2">
      <c r="A40" s="189" t="s">
        <v>26</v>
      </c>
      <c r="B40" s="211"/>
      <c r="C40" s="211"/>
      <c r="D40" s="211"/>
      <c r="E40" s="211"/>
      <c r="F40" s="211"/>
      <c r="G40" s="211"/>
      <c r="H40" s="211"/>
      <c r="I40" s="211"/>
    </row>
    <row r="41" spans="1:9" ht="18" x14ac:dyDescent="0.2">
      <c r="A41" s="5"/>
      <c r="B41" s="5"/>
      <c r="C41" s="5"/>
      <c r="D41" s="5"/>
      <c r="E41" s="5"/>
      <c r="F41" s="5"/>
      <c r="G41" s="5"/>
      <c r="H41" s="6"/>
      <c r="I41" s="6"/>
    </row>
    <row r="42" spans="1:9" ht="25.5" x14ac:dyDescent="0.2">
      <c r="A42" s="23" t="s">
        <v>19</v>
      </c>
      <c r="B42" s="22" t="s">
        <v>20</v>
      </c>
      <c r="C42" s="22" t="s">
        <v>21</v>
      </c>
      <c r="D42" s="22" t="s">
        <v>27</v>
      </c>
      <c r="E42" s="22" t="s">
        <v>12</v>
      </c>
      <c r="F42" s="23" t="s">
        <v>13</v>
      </c>
      <c r="G42" s="23" t="s">
        <v>14</v>
      </c>
      <c r="H42" s="23" t="s">
        <v>15</v>
      </c>
      <c r="I42" s="23" t="s">
        <v>16</v>
      </c>
    </row>
    <row r="43" spans="1:9" ht="15.75" customHeight="1" x14ac:dyDescent="0.2">
      <c r="A43" s="13">
        <v>3</v>
      </c>
      <c r="B43" s="13"/>
      <c r="C43" s="13"/>
      <c r="D43" s="13" t="s">
        <v>28</v>
      </c>
      <c r="E43" s="48">
        <f>E44+E49+E54+E59+E64+E69+E74</f>
        <v>742819.13199283287</v>
      </c>
      <c r="F43" s="140">
        <f>F44+F49+F54+F59+F64+F69+F74</f>
        <v>950509.9608467716</v>
      </c>
      <c r="G43" s="140">
        <f>G44+G49+G54+G59+G64+G69+G74</f>
        <v>1016791.4400000001</v>
      </c>
      <c r="H43" s="140">
        <f t="shared" ref="H43:I43" si="1">H44+H49+H54+H59+H64+H69+H74</f>
        <v>1130244.83</v>
      </c>
      <c r="I43" s="140">
        <f t="shared" si="1"/>
        <v>1018499.32</v>
      </c>
    </row>
    <row r="44" spans="1:9" ht="15.75" customHeight="1" x14ac:dyDescent="0.2">
      <c r="A44" s="13"/>
      <c r="B44" s="17">
        <v>31</v>
      </c>
      <c r="C44" s="17"/>
      <c r="D44" s="17" t="s">
        <v>29</v>
      </c>
      <c r="E44" s="45">
        <f>1766913.17/7.5345</f>
        <v>234509.67814718958</v>
      </c>
      <c r="F44" s="129">
        <f>2376700.5/7.5345</f>
        <v>315442.36512044596</v>
      </c>
      <c r="G44" s="129">
        <f>25615.5+84716.97+9834.76+162120.91+9901.12+19802.24</f>
        <v>311991.5</v>
      </c>
      <c r="H44" s="129">
        <f>25600+85000+9835+147985.93</f>
        <v>268420.93</v>
      </c>
      <c r="I44" s="129">
        <f>25600+85000+9835+148118.65</f>
        <v>268553.65000000002</v>
      </c>
    </row>
    <row r="45" spans="1:9" x14ac:dyDescent="0.2">
      <c r="A45" s="126"/>
      <c r="B45" s="126"/>
      <c r="C45" s="127" t="s">
        <v>198</v>
      </c>
      <c r="D45" s="128" t="s">
        <v>24</v>
      </c>
      <c r="E45" s="60">
        <f>E44-E47</f>
        <v>199015.09191054481</v>
      </c>
      <c r="F45" s="129">
        <f>2079965/7.5345-1473.22</f>
        <v>274585.57620412769</v>
      </c>
      <c r="G45" s="129">
        <f>25615.5+84716.97+9834.76+162120.91</f>
        <v>282288.14</v>
      </c>
      <c r="H45" s="129">
        <f>H44-H47</f>
        <v>229125.93</v>
      </c>
      <c r="I45" s="129">
        <f>I44-I47</f>
        <v>229253.65000000002</v>
      </c>
    </row>
    <row r="46" spans="1:9" x14ac:dyDescent="0.2">
      <c r="A46" s="126"/>
      <c r="B46" s="126"/>
      <c r="C46" s="127" t="s">
        <v>201</v>
      </c>
      <c r="D46" s="128" t="s">
        <v>202</v>
      </c>
      <c r="E46" s="60"/>
      <c r="F46" s="129"/>
      <c r="G46" s="129"/>
      <c r="H46" s="129"/>
      <c r="I46" s="129"/>
    </row>
    <row r="47" spans="1:9" x14ac:dyDescent="0.2">
      <c r="A47" s="126"/>
      <c r="B47" s="126"/>
      <c r="C47" s="127" t="s">
        <v>199</v>
      </c>
      <c r="D47" s="128" t="s">
        <v>200</v>
      </c>
      <c r="E47" s="60">
        <f>267433.96/7.5345</f>
        <v>35494.586236644769</v>
      </c>
      <c r="F47" s="129">
        <v>40856.79</v>
      </c>
      <c r="G47" s="129">
        <f>9901.12+19802.24</f>
        <v>29703.360000000001</v>
      </c>
      <c r="H47" s="129">
        <f>9835+29460</f>
        <v>39295</v>
      </c>
      <c r="I47" s="129">
        <f>9835+29465</f>
        <v>39300</v>
      </c>
    </row>
    <row r="48" spans="1:9" x14ac:dyDescent="0.2">
      <c r="A48" s="126"/>
      <c r="B48" s="126"/>
      <c r="C48" s="127"/>
      <c r="D48" s="128"/>
      <c r="E48" s="60"/>
      <c r="F48" s="129"/>
      <c r="G48" s="129"/>
      <c r="H48" s="129"/>
      <c r="I48" s="129"/>
    </row>
    <row r="49" spans="1:9" x14ac:dyDescent="0.2">
      <c r="A49" s="126"/>
      <c r="B49" s="130">
        <v>32</v>
      </c>
      <c r="C49" s="130"/>
      <c r="D49" s="130" t="s">
        <v>43</v>
      </c>
      <c r="E49" s="60">
        <f>2713369.6/7.5345</f>
        <v>360126.03357887053</v>
      </c>
      <c r="F49" s="129">
        <f>3170266.8/7.5345</f>
        <v>420766.71311964956</v>
      </c>
      <c r="G49" s="129">
        <f>12608.66+4114.4+9290.59+107096.02+1327.23+19908.42+168956.14+8361.54+663.61+29199.02+9954.21+9821.49+9556.04+1327.23+6636.14+43426.9+132.72+132.72</f>
        <v>442513.07999999996</v>
      </c>
      <c r="H49" s="129">
        <f>13409+4145+9300+116368+1250+225000+168000+400+660+30000+10400+10000+9600+1330+39816.84</f>
        <v>639678.84</v>
      </c>
      <c r="I49" s="129">
        <f>13409+4145+20000+9300+97895+1250+10000+273018+400+660+30000+10400+10000+9600+1330+41144.07</f>
        <v>532551.06999999995</v>
      </c>
    </row>
    <row r="50" spans="1:9" x14ac:dyDescent="0.2">
      <c r="A50" s="126"/>
      <c r="B50" s="126"/>
      <c r="C50" s="127" t="s">
        <v>198</v>
      </c>
      <c r="D50" s="128" t="s">
        <v>24</v>
      </c>
      <c r="E50" s="60"/>
      <c r="F50" s="129">
        <f>2031116.8/7.5345</f>
        <v>269575.52591412835</v>
      </c>
      <c r="G50" s="129">
        <f>12608.66+4114.4+9290.59+107096.02+1327.23+19908.42+54098.96+530.89+16748.49+9954.21+9821.49+9556.04+1327.23+13962.43</f>
        <v>270345.06</v>
      </c>
      <c r="H50" s="129">
        <f>H49-H51-H52</f>
        <v>390155.27999999997</v>
      </c>
      <c r="I50" s="129">
        <f>I49-I51-I52</f>
        <v>368948.18</v>
      </c>
    </row>
    <row r="51" spans="1:9" x14ac:dyDescent="0.2">
      <c r="A51" s="126"/>
      <c r="B51" s="126"/>
      <c r="C51" s="127" t="s">
        <v>201</v>
      </c>
      <c r="D51" s="128" t="s">
        <v>202</v>
      </c>
      <c r="E51" s="60">
        <f>146682.46/7.5345</f>
        <v>19468.108036366048</v>
      </c>
      <c r="F51" s="129">
        <f>800500/7.5345</f>
        <v>106244.60813590814</v>
      </c>
      <c r="G51" s="129">
        <f>90468.17+10750.55+132.72+7905.97</f>
        <v>109257.41</v>
      </c>
      <c r="H51" s="129">
        <f>87172+400+132.72+8106.28</f>
        <v>95811</v>
      </c>
      <c r="I51" s="129">
        <f>97054+400+132.72+10000</f>
        <v>107586.72</v>
      </c>
    </row>
    <row r="52" spans="1:9" x14ac:dyDescent="0.2">
      <c r="A52" s="126"/>
      <c r="B52" s="126"/>
      <c r="C52" s="127" t="s">
        <v>199</v>
      </c>
      <c r="D52" s="128" t="s">
        <v>200</v>
      </c>
      <c r="E52" s="60">
        <f>2945130.5/7.5345-50228.07</f>
        <v>340657.9211075718</v>
      </c>
      <c r="F52" s="129">
        <f>338650/7.5345</f>
        <v>44946.579069613108</v>
      </c>
      <c r="G52" s="129">
        <f>22000+4544.56+6636.14+29464.47+132.72+132.72</f>
        <v>62910.610000000008</v>
      </c>
      <c r="H52" s="129">
        <f>126544.56+22250+4918</f>
        <v>153712.56</v>
      </c>
      <c r="I52" s="129">
        <f>20000+10000+21016.17+5000</f>
        <v>56016.17</v>
      </c>
    </row>
    <row r="53" spans="1:9" x14ac:dyDescent="0.2">
      <c r="A53" s="126"/>
      <c r="B53" s="126"/>
      <c r="C53" s="127"/>
      <c r="D53" s="128"/>
      <c r="E53" s="60"/>
      <c r="F53" s="129"/>
      <c r="G53" s="129"/>
      <c r="H53" s="129"/>
      <c r="I53" s="129"/>
    </row>
    <row r="54" spans="1:9" x14ac:dyDescent="0.2">
      <c r="A54" s="126"/>
      <c r="B54" s="126">
        <v>34</v>
      </c>
      <c r="C54" s="128"/>
      <c r="D54" s="128" t="s">
        <v>181</v>
      </c>
      <c r="E54" s="60">
        <f>28164.51/7.5345</f>
        <v>3738.0728648218192</v>
      </c>
      <c r="F54" s="129">
        <f>22550/7.5345</f>
        <v>2992.8993297498173</v>
      </c>
      <c r="G54" s="129">
        <f>2521.73+929.06</f>
        <v>3450.79</v>
      </c>
      <c r="H54" s="129">
        <f>2600+929.06</f>
        <v>3529.06</v>
      </c>
      <c r="I54" s="129">
        <f>2600+1028.6</f>
        <v>3628.6</v>
      </c>
    </row>
    <row r="55" spans="1:9" x14ac:dyDescent="0.2">
      <c r="A55" s="126"/>
      <c r="B55" s="126"/>
      <c r="C55" s="127" t="s">
        <v>198</v>
      </c>
      <c r="D55" s="128" t="s">
        <v>24</v>
      </c>
      <c r="E55" s="60">
        <f>E54</f>
        <v>3738.0728648218192</v>
      </c>
      <c r="F55" s="129">
        <f>22550/7.5345</f>
        <v>2992.8993297498173</v>
      </c>
      <c r="G55" s="129">
        <f>2521.73+929.06</f>
        <v>3450.79</v>
      </c>
      <c r="H55" s="129">
        <v>3529.06</v>
      </c>
      <c r="I55" s="129">
        <f>I54</f>
        <v>3628.6</v>
      </c>
    </row>
    <row r="56" spans="1:9" x14ac:dyDescent="0.2">
      <c r="A56" s="126"/>
      <c r="B56" s="126"/>
      <c r="C56" s="127" t="s">
        <v>201</v>
      </c>
      <c r="D56" s="128" t="s">
        <v>202</v>
      </c>
      <c r="E56" s="60"/>
      <c r="F56" s="129"/>
      <c r="G56" s="129"/>
      <c r="H56" s="129"/>
      <c r="I56" s="129"/>
    </row>
    <row r="57" spans="1:9" x14ac:dyDescent="0.2">
      <c r="A57" s="126"/>
      <c r="B57" s="126"/>
      <c r="C57" s="127" t="s">
        <v>199</v>
      </c>
      <c r="D57" s="128" t="s">
        <v>200</v>
      </c>
      <c r="E57" s="60"/>
      <c r="F57" s="129"/>
      <c r="G57" s="129"/>
      <c r="H57" s="129"/>
      <c r="I57" s="129"/>
    </row>
    <row r="58" spans="1:9" x14ac:dyDescent="0.2">
      <c r="A58" s="126"/>
      <c r="B58" s="126"/>
      <c r="C58" s="127"/>
      <c r="D58" s="128"/>
      <c r="E58" s="60"/>
      <c r="F58" s="129"/>
      <c r="G58" s="129"/>
      <c r="H58" s="129"/>
      <c r="I58" s="129"/>
    </row>
    <row r="59" spans="1:9" x14ac:dyDescent="0.2">
      <c r="A59" s="126"/>
      <c r="B59" s="126">
        <v>35</v>
      </c>
      <c r="C59" s="128"/>
      <c r="D59" s="128" t="s">
        <v>61</v>
      </c>
      <c r="E59" s="60">
        <f>116074.74/7.5345</f>
        <v>15405.765478797532</v>
      </c>
      <c r="F59" s="129">
        <f>188000/7.5345</f>
        <v>24951.887981949698</v>
      </c>
      <c r="G59" s="129">
        <f>19244.81+5308.91+398.17</f>
        <v>24951.89</v>
      </c>
      <c r="H59" s="129">
        <f>18814+5300+400</f>
        <v>24514</v>
      </c>
      <c r="I59" s="129">
        <f>18814+5300+400</f>
        <v>24514</v>
      </c>
    </row>
    <row r="60" spans="1:9" x14ac:dyDescent="0.2">
      <c r="A60" s="126"/>
      <c r="B60" s="126"/>
      <c r="C60" s="127" t="s">
        <v>198</v>
      </c>
      <c r="D60" s="128" t="s">
        <v>24</v>
      </c>
      <c r="E60" s="60">
        <f>E59</f>
        <v>15405.765478797532</v>
      </c>
      <c r="F60" s="129">
        <f>188000/7.5345</f>
        <v>24951.887981949698</v>
      </c>
      <c r="G60" s="129">
        <f>19244.81+5308.91+398.17</f>
        <v>24951.89</v>
      </c>
      <c r="H60" s="129">
        <v>24514</v>
      </c>
      <c r="I60" s="129">
        <f>I59</f>
        <v>24514</v>
      </c>
    </row>
    <row r="61" spans="1:9" x14ac:dyDescent="0.2">
      <c r="A61" s="126"/>
      <c r="B61" s="126"/>
      <c r="C61" s="127" t="s">
        <v>201</v>
      </c>
      <c r="D61" s="128" t="s">
        <v>202</v>
      </c>
      <c r="E61" s="60"/>
      <c r="F61" s="129"/>
      <c r="G61" s="129"/>
      <c r="H61" s="129"/>
      <c r="I61" s="129"/>
    </row>
    <row r="62" spans="1:9" x14ac:dyDescent="0.2">
      <c r="A62" s="126"/>
      <c r="B62" s="126"/>
      <c r="C62" s="127" t="s">
        <v>199</v>
      </c>
      <c r="D62" s="128" t="s">
        <v>200</v>
      </c>
      <c r="E62" s="60"/>
      <c r="F62" s="129"/>
      <c r="G62" s="129"/>
      <c r="H62" s="129"/>
      <c r="I62" s="129"/>
    </row>
    <row r="63" spans="1:9" x14ac:dyDescent="0.2">
      <c r="A63" s="126"/>
      <c r="B63" s="126"/>
      <c r="C63" s="127"/>
      <c r="D63" s="128"/>
      <c r="E63" s="60"/>
      <c r="F63" s="129"/>
      <c r="G63" s="129"/>
      <c r="H63" s="129"/>
      <c r="I63" s="129"/>
    </row>
    <row r="64" spans="1:9" ht="25.5" x14ac:dyDescent="0.2">
      <c r="A64" s="126"/>
      <c r="B64" s="126">
        <v>36</v>
      </c>
      <c r="C64" s="128"/>
      <c r="D64" s="131" t="s">
        <v>62</v>
      </c>
      <c r="E64" s="60">
        <f>261041.16/7.5345</f>
        <v>34646.115867011744</v>
      </c>
      <c r="F64" s="129">
        <f>407000/7.5345</f>
        <v>54018.183024752798</v>
      </c>
      <c r="G64" s="129">
        <f>26544.56+796.34+3185.34+1592.67+3981.69+14599.51+2654.46</f>
        <v>53354.570000000007</v>
      </c>
      <c r="H64" s="129">
        <f>20000+3186+1600+4000+17700+3849</f>
        <v>50335</v>
      </c>
      <c r="I64" s="129">
        <f>15000+3186+1600+4000+17700</f>
        <v>41486</v>
      </c>
    </row>
    <row r="65" spans="1:9" x14ac:dyDescent="0.2">
      <c r="A65" s="126"/>
      <c r="B65" s="126"/>
      <c r="C65" s="127" t="s">
        <v>198</v>
      </c>
      <c r="D65" s="128" t="s">
        <v>24</v>
      </c>
      <c r="E65" s="60">
        <f>E64-E67</f>
        <v>21463.197292454708</v>
      </c>
      <c r="F65" s="129">
        <f>307000/7.5345</f>
        <v>40745.902183290193</v>
      </c>
      <c r="G65" s="129">
        <f>26544.56+796.34+3185.34+1592.67+3981.69+2654.46</f>
        <v>38755.060000000005</v>
      </c>
      <c r="H65" s="129">
        <f>H64-H67</f>
        <v>32635</v>
      </c>
      <c r="I65" s="129">
        <f>I64-I67</f>
        <v>23786</v>
      </c>
    </row>
    <row r="66" spans="1:9" x14ac:dyDescent="0.2">
      <c r="A66" s="126"/>
      <c r="B66" s="126"/>
      <c r="C66" s="127" t="s">
        <v>201</v>
      </c>
      <c r="D66" s="128" t="s">
        <v>202</v>
      </c>
      <c r="E66" s="60"/>
      <c r="F66" s="129"/>
      <c r="G66" s="129"/>
      <c r="H66" s="129"/>
      <c r="I66" s="129"/>
    </row>
    <row r="67" spans="1:9" x14ac:dyDescent="0.2">
      <c r="A67" s="126"/>
      <c r="B67" s="126"/>
      <c r="C67" s="127" t="s">
        <v>199</v>
      </c>
      <c r="D67" s="128" t="s">
        <v>200</v>
      </c>
      <c r="E67" s="60">
        <f>99326.7/7.5345</f>
        <v>13182.918574557036</v>
      </c>
      <c r="F67" s="129">
        <f>100000/7.5345</f>
        <v>13272.280841462605</v>
      </c>
      <c r="G67" s="129">
        <v>14599.51</v>
      </c>
      <c r="H67" s="129">
        <f>17700</f>
        <v>17700</v>
      </c>
      <c r="I67" s="129">
        <f>17700</f>
        <v>17700</v>
      </c>
    </row>
    <row r="68" spans="1:9" x14ac:dyDescent="0.2">
      <c r="A68" s="126"/>
      <c r="B68" s="126"/>
      <c r="C68" s="127"/>
      <c r="D68" s="128"/>
      <c r="E68" s="60"/>
      <c r="F68" s="129"/>
      <c r="G68" s="129"/>
      <c r="H68" s="129"/>
      <c r="I68" s="129"/>
    </row>
    <row r="69" spans="1:9" ht="38.25" x14ac:dyDescent="0.2">
      <c r="A69" s="126"/>
      <c r="B69" s="126">
        <v>37</v>
      </c>
      <c r="C69" s="128"/>
      <c r="D69" s="131" t="s">
        <v>63</v>
      </c>
      <c r="E69" s="60">
        <f>333213.16/7.5345</f>
        <v>44224.986395912129</v>
      </c>
      <c r="F69" s="129">
        <f>461900/7.5345</f>
        <v>61304.66520671577</v>
      </c>
      <c r="G69" s="129">
        <f>3318.07+11281.44+46851.15+1592.67</f>
        <v>63043.33</v>
      </c>
      <c r="H69" s="129">
        <f>4000+12000+46151+1600</f>
        <v>63751</v>
      </c>
      <c r="I69" s="129">
        <f>4000+12000+50000+1700</f>
        <v>67700</v>
      </c>
    </row>
    <row r="70" spans="1:9" x14ac:dyDescent="0.2">
      <c r="A70" s="126"/>
      <c r="B70" s="126"/>
      <c r="C70" s="127" t="s">
        <v>198</v>
      </c>
      <c r="D70" s="128" t="s">
        <v>24</v>
      </c>
      <c r="E70" s="60">
        <f>E69-E72</f>
        <v>42831.396907558556</v>
      </c>
      <c r="F70" s="129">
        <f>461900/7.5345</f>
        <v>61304.66520671577</v>
      </c>
      <c r="G70" s="129">
        <f>3318.07+11281.44+46851.15+1592.67</f>
        <v>63043.33</v>
      </c>
      <c r="H70" s="129">
        <v>63751</v>
      </c>
      <c r="I70" s="129">
        <f>I69</f>
        <v>67700</v>
      </c>
    </row>
    <row r="71" spans="1:9" x14ac:dyDescent="0.2">
      <c r="A71" s="126"/>
      <c r="B71" s="126"/>
      <c r="C71" s="127" t="s">
        <v>201</v>
      </c>
      <c r="D71" s="128" t="s">
        <v>202</v>
      </c>
      <c r="E71" s="60"/>
      <c r="F71" s="129"/>
      <c r="G71" s="129"/>
      <c r="H71" s="129"/>
      <c r="I71" s="129"/>
    </row>
    <row r="72" spans="1:9" x14ac:dyDescent="0.2">
      <c r="A72" s="126"/>
      <c r="B72" s="126"/>
      <c r="C72" s="127" t="s">
        <v>199</v>
      </c>
      <c r="D72" s="128" t="s">
        <v>200</v>
      </c>
      <c r="E72" s="60">
        <f>10500/7.5345</f>
        <v>1393.5894883535734</v>
      </c>
      <c r="F72" s="129"/>
      <c r="G72" s="129"/>
      <c r="H72" s="129"/>
      <c r="I72" s="129"/>
    </row>
    <row r="73" spans="1:9" x14ac:dyDescent="0.2">
      <c r="A73" s="126"/>
      <c r="B73" s="126"/>
      <c r="C73" s="127"/>
      <c r="D73" s="128"/>
      <c r="E73" s="60"/>
      <c r="F73" s="129"/>
      <c r="G73" s="129"/>
      <c r="H73" s="129"/>
      <c r="I73" s="129"/>
    </row>
    <row r="74" spans="1:9" x14ac:dyDescent="0.2">
      <c r="A74" s="126"/>
      <c r="B74" s="126">
        <v>38</v>
      </c>
      <c r="C74" s="128"/>
      <c r="D74" s="128" t="s">
        <v>64</v>
      </c>
      <c r="E74" s="60">
        <f>377994.41/7.5345</f>
        <v>50168.479660229605</v>
      </c>
      <c r="F74" s="129">
        <f>535200/7.5345</f>
        <v>71033.247063507864</v>
      </c>
      <c r="G74" s="129">
        <f>1990.9+1353.77+13272.28+2919.9+37162.39+3318.07+29199.02+663.61+4379.85+21899.26+1327.23</f>
        <v>117486.28</v>
      </c>
      <c r="H74" s="129">
        <f>1991+1355+13300+2900+38000+3400+2000+670+5000+10000+1400</f>
        <v>80016</v>
      </c>
      <c r="I74" s="129">
        <f>1991+1355+13300+3000+38000+3350+2000+670+5000+10000+1400</f>
        <v>80066</v>
      </c>
    </row>
    <row r="75" spans="1:9" x14ac:dyDescent="0.2">
      <c r="A75" s="126"/>
      <c r="B75" s="126"/>
      <c r="C75" s="127" t="s">
        <v>198</v>
      </c>
      <c r="D75" s="128" t="s">
        <v>24</v>
      </c>
      <c r="E75" s="60">
        <f>E74</f>
        <v>50168.479660229605</v>
      </c>
      <c r="F75" s="129">
        <f>535200/7.5345</f>
        <v>71033.247063507864</v>
      </c>
      <c r="G75" s="129">
        <f>1990.9+1535.77+13272.28+2919.9+37162.39+3318.07+29199.02+663.61+4379.85+21899.26+1127.23+18</f>
        <v>117486.28</v>
      </c>
      <c r="H75" s="129">
        <v>80016</v>
      </c>
      <c r="I75" s="129">
        <f>I74</f>
        <v>80066</v>
      </c>
    </row>
    <row r="76" spans="1:9" x14ac:dyDescent="0.2">
      <c r="A76" s="126"/>
      <c r="B76" s="126"/>
      <c r="C76" s="127" t="s">
        <v>201</v>
      </c>
      <c r="D76" s="128" t="s">
        <v>202</v>
      </c>
      <c r="E76" s="60"/>
      <c r="F76" s="60"/>
      <c r="G76" s="60"/>
      <c r="H76" s="60"/>
      <c r="I76" s="60"/>
    </row>
    <row r="77" spans="1:9" x14ac:dyDescent="0.2">
      <c r="A77" s="126"/>
      <c r="B77" s="126"/>
      <c r="C77" s="127" t="s">
        <v>199</v>
      </c>
      <c r="D77" s="128" t="s">
        <v>200</v>
      </c>
      <c r="E77" s="60"/>
      <c r="F77" s="60"/>
      <c r="G77" s="60"/>
      <c r="H77" s="60"/>
      <c r="I77" s="60"/>
    </row>
    <row r="78" spans="1:9" x14ac:dyDescent="0.2">
      <c r="A78" s="126"/>
      <c r="B78" s="126"/>
      <c r="C78" s="127"/>
      <c r="D78" s="128"/>
      <c r="E78" s="60"/>
      <c r="F78" s="60"/>
      <c r="G78" s="60"/>
      <c r="H78" s="60"/>
      <c r="I78" s="60"/>
    </row>
    <row r="79" spans="1:9" ht="25.5" x14ac:dyDescent="0.2">
      <c r="A79" s="132">
        <v>4</v>
      </c>
      <c r="B79" s="132"/>
      <c r="C79" s="132"/>
      <c r="D79" s="133" t="s">
        <v>30</v>
      </c>
      <c r="E79" s="140">
        <f>E85+E90+E80</f>
        <v>1032984.6134448205</v>
      </c>
      <c r="F79" s="140">
        <f>F85+F90+F80</f>
        <v>683469.37421195826</v>
      </c>
      <c r="G79" s="140">
        <f>G85+G90+G80</f>
        <v>555843.11</v>
      </c>
      <c r="H79" s="140">
        <f>H85+H90+H80</f>
        <v>388455.17</v>
      </c>
      <c r="I79" s="140">
        <f>I85+I90+I80</f>
        <v>512337.68</v>
      </c>
    </row>
    <row r="80" spans="1:9" ht="38.25" x14ac:dyDescent="0.2">
      <c r="A80" s="132"/>
      <c r="B80" s="134">
        <v>41</v>
      </c>
      <c r="C80" s="132"/>
      <c r="D80" s="135" t="s">
        <v>31</v>
      </c>
      <c r="E80" s="140"/>
      <c r="F80" s="60">
        <f>90000/7.5345</f>
        <v>11945.052757316344</v>
      </c>
      <c r="G80" s="140">
        <f>6636.14</f>
        <v>6636.14</v>
      </c>
      <c r="H80" s="140"/>
      <c r="I80" s="140">
        <f>18000</f>
        <v>18000</v>
      </c>
    </row>
    <row r="81" spans="1:9" x14ac:dyDescent="0.2">
      <c r="A81" s="132"/>
      <c r="B81" s="134"/>
      <c r="C81" s="127" t="s">
        <v>198</v>
      </c>
      <c r="D81" s="128" t="s">
        <v>24</v>
      </c>
      <c r="E81" s="140"/>
      <c r="F81" s="60">
        <f>90000/7.5345</f>
        <v>11945.052757316344</v>
      </c>
      <c r="G81" s="60">
        <f>6636.14</f>
        <v>6636.14</v>
      </c>
      <c r="H81" s="140"/>
      <c r="I81" s="60">
        <f>I80</f>
        <v>18000</v>
      </c>
    </row>
    <row r="82" spans="1:9" x14ac:dyDescent="0.2">
      <c r="A82" s="132"/>
      <c r="B82" s="134"/>
      <c r="C82" s="127" t="s">
        <v>201</v>
      </c>
      <c r="D82" s="128" t="s">
        <v>202</v>
      </c>
      <c r="E82" s="140"/>
      <c r="F82" s="60"/>
      <c r="G82" s="140"/>
      <c r="H82" s="140"/>
      <c r="I82" s="140"/>
    </row>
    <row r="83" spans="1:9" x14ac:dyDescent="0.2">
      <c r="A83" s="132"/>
      <c r="B83" s="132"/>
      <c r="C83" s="127" t="s">
        <v>199</v>
      </c>
      <c r="D83" s="128" t="s">
        <v>200</v>
      </c>
      <c r="E83" s="140"/>
      <c r="F83" s="140"/>
      <c r="G83" s="140"/>
      <c r="H83" s="140"/>
      <c r="I83" s="140"/>
    </row>
    <row r="84" spans="1:9" x14ac:dyDescent="0.2">
      <c r="A84" s="132"/>
      <c r="B84" s="132"/>
      <c r="C84" s="127"/>
      <c r="D84" s="128"/>
      <c r="E84" s="140"/>
      <c r="F84" s="140"/>
      <c r="G84" s="140"/>
      <c r="H84" s="140"/>
      <c r="I84" s="140"/>
    </row>
    <row r="85" spans="1:9" ht="38.25" x14ac:dyDescent="0.2">
      <c r="A85" s="17"/>
      <c r="B85" s="17">
        <v>42</v>
      </c>
      <c r="C85" s="17"/>
      <c r="D85" s="36" t="s">
        <v>52</v>
      </c>
      <c r="E85" s="60">
        <f>7019271.22/7.5345</f>
        <v>931617.38934235845</v>
      </c>
      <c r="F85" s="129">
        <f>4294600/7.5345</f>
        <v>569991.37301745301</v>
      </c>
      <c r="G85" s="129">
        <f>39816.84+10617.82+42471.3+30526.25+66361.4+42471.3+26544.56+19908.42+132722.81+2389.01+5972.53</f>
        <v>419802.24</v>
      </c>
      <c r="H85" s="129">
        <f>1650+34310+3810+332487+800+15000+398.17</f>
        <v>388455.17</v>
      </c>
      <c r="I85" s="151">
        <f>5000+8151+471023.07+1500+8000+663.61</f>
        <v>494337.68</v>
      </c>
    </row>
    <row r="86" spans="1:9" x14ac:dyDescent="0.2">
      <c r="A86" s="17"/>
      <c r="B86" s="17"/>
      <c r="C86" s="127" t="s">
        <v>198</v>
      </c>
      <c r="D86" s="128" t="s">
        <v>24</v>
      </c>
      <c r="E86" s="60">
        <f>E85-E87-E88</f>
        <v>177396.27534474747</v>
      </c>
      <c r="F86" s="129">
        <f>2253500/7.5345-235301.61</f>
        <v>63789.238762359833</v>
      </c>
      <c r="G86" s="129">
        <f>32636.51+10617.82+42471.3+11945.06+1054.95+26544.56+5972.53+19908.42+2389.01</f>
        <v>153540.16000000003</v>
      </c>
      <c r="H86" s="129">
        <f>H85-H87-H88</f>
        <v>214162.72999999998</v>
      </c>
      <c r="I86" s="151">
        <f>I85-I87-I88</f>
        <v>217341.39999999997</v>
      </c>
    </row>
    <row r="87" spans="1:9" x14ac:dyDescent="0.2">
      <c r="A87" s="17"/>
      <c r="B87" s="17"/>
      <c r="C87" s="127" t="s">
        <v>201</v>
      </c>
      <c r="D87" s="128" t="s">
        <v>202</v>
      </c>
      <c r="E87" s="60">
        <f>666442.93/7.5345</f>
        <v>88452.177317672045</v>
      </c>
      <c r="F87" s="129">
        <f>183100/7.5345</f>
        <v>24301.546220718028</v>
      </c>
      <c r="G87" s="129">
        <f>1599.51</f>
        <v>1599.51</v>
      </c>
      <c r="H87" s="129">
        <f>30000</f>
        <v>30000</v>
      </c>
      <c r="I87" s="151">
        <f>15267.28</f>
        <v>15267.28</v>
      </c>
    </row>
    <row r="88" spans="1:9" x14ac:dyDescent="0.2">
      <c r="A88" s="130"/>
      <c r="B88" s="130"/>
      <c r="C88" s="127" t="s">
        <v>199</v>
      </c>
      <c r="D88" s="128" t="s">
        <v>200</v>
      </c>
      <c r="E88" s="60">
        <f>4637792.66/7.5345+50228.07</f>
        <v>665768.93667993892</v>
      </c>
      <c r="F88" s="129">
        <f>1858000/7.5345+235301.61</f>
        <v>481900.58803437522</v>
      </c>
      <c r="G88" s="129">
        <f>18581.19+66361.4+39816.84+132722.81+7180.33</f>
        <v>264662.57</v>
      </c>
      <c r="H88" s="129">
        <f>102292.44+15000+27000</f>
        <v>144292.44</v>
      </c>
      <c r="I88" s="151">
        <f>5000+248729+8000</f>
        <v>261729</v>
      </c>
    </row>
    <row r="89" spans="1:9" x14ac:dyDescent="0.2">
      <c r="A89" s="130"/>
      <c r="B89" s="130"/>
      <c r="C89" s="127"/>
      <c r="D89" s="128"/>
      <c r="E89" s="60"/>
      <c r="F89" s="129"/>
      <c r="G89" s="129"/>
      <c r="H89" s="129"/>
      <c r="I89" s="129"/>
    </row>
    <row r="90" spans="1:9" ht="25.5" x14ac:dyDescent="0.2">
      <c r="A90" s="17"/>
      <c r="B90" s="17">
        <v>45</v>
      </c>
      <c r="C90" s="17"/>
      <c r="D90" s="36" t="s">
        <v>65</v>
      </c>
      <c r="E90" s="60">
        <f>763751.35/7.5345</f>
        <v>101367.224102462</v>
      </c>
      <c r="F90" s="129">
        <f>765000/7.5345</f>
        <v>101532.94843718893</v>
      </c>
      <c r="G90" s="129">
        <f>39816.84+16590.35+19908.42+39816.84+13272.28</f>
        <v>129404.72999999998</v>
      </c>
      <c r="H90" s="129"/>
      <c r="I90" s="151"/>
    </row>
    <row r="91" spans="1:9" x14ac:dyDescent="0.2">
      <c r="A91" s="130"/>
      <c r="B91" s="130"/>
      <c r="C91" s="127" t="s">
        <v>198</v>
      </c>
      <c r="D91" s="128" t="s">
        <v>24</v>
      </c>
      <c r="E91" s="60">
        <f>E90-E93</f>
        <v>48785.035503351246</v>
      </c>
      <c r="F91" s="129">
        <f>620000/7.5345</f>
        <v>82288.141217068143</v>
      </c>
      <c r="G91" s="129">
        <f>272.28+4645.3-1327.23+12608.67+39816.84</f>
        <v>56015.86</v>
      </c>
      <c r="H91" s="129"/>
      <c r="I91" s="151"/>
    </row>
    <row r="92" spans="1:9" x14ac:dyDescent="0.2">
      <c r="A92" s="173"/>
      <c r="B92" s="173"/>
      <c r="C92" s="127" t="s">
        <v>201</v>
      </c>
      <c r="D92" s="128" t="s">
        <v>202</v>
      </c>
      <c r="E92" s="175"/>
      <c r="F92" s="175"/>
      <c r="G92" s="175">
        <f>13000</f>
        <v>13000</v>
      </c>
      <c r="H92" s="174"/>
      <c r="I92" s="174"/>
    </row>
    <row r="93" spans="1:9" x14ac:dyDescent="0.2">
      <c r="A93" s="173"/>
      <c r="B93" s="173"/>
      <c r="C93" s="127" t="s">
        <v>199</v>
      </c>
      <c r="D93" s="128" t="s">
        <v>200</v>
      </c>
      <c r="E93" s="175">
        <f>396180.5/7.5345</f>
        <v>52582.188599110756</v>
      </c>
      <c r="F93" s="175">
        <f>145000/7.5345</f>
        <v>19244.807220120776</v>
      </c>
      <c r="G93" s="175">
        <f>26544.56+13272.28+7299.75+13272.28</f>
        <v>60388.87</v>
      </c>
      <c r="H93" s="174"/>
      <c r="I93" s="174"/>
    </row>
    <row r="94" spans="1:9" x14ac:dyDescent="0.2">
      <c r="F94" s="176"/>
      <c r="G94" s="148"/>
      <c r="H94" s="171"/>
      <c r="I94" s="171"/>
    </row>
    <row r="95" spans="1:9" x14ac:dyDescent="0.2">
      <c r="F95" s="171"/>
      <c r="G95" s="171"/>
      <c r="H95" s="171"/>
      <c r="I95" s="171"/>
    </row>
    <row r="96" spans="1:9" x14ac:dyDescent="0.2">
      <c r="F96" s="171"/>
      <c r="G96" s="171"/>
    </row>
    <row r="97" spans="6:9" x14ac:dyDescent="0.2">
      <c r="F97" s="171"/>
      <c r="G97" s="171"/>
      <c r="H97" s="171"/>
      <c r="I97" s="171"/>
    </row>
    <row r="98" spans="6:9" x14ac:dyDescent="0.2">
      <c r="F98" s="171"/>
      <c r="G98" s="171"/>
    </row>
    <row r="99" spans="6:9" x14ac:dyDescent="0.2">
      <c r="F99" s="171"/>
      <c r="G99" s="171"/>
      <c r="I99" s="171"/>
    </row>
    <row r="100" spans="6:9" x14ac:dyDescent="0.2">
      <c r="F100" s="171"/>
      <c r="G100" s="171"/>
      <c r="H100" s="171"/>
    </row>
  </sheetData>
  <mergeCells count="8">
    <mergeCell ref="A2:I2"/>
    <mergeCell ref="A13:I13"/>
    <mergeCell ref="A40:I40"/>
    <mergeCell ref="A8:I8"/>
    <mergeCell ref="A4:I4"/>
    <mergeCell ref="A6:I6"/>
    <mergeCell ref="A10:I10"/>
    <mergeCell ref="A11:I1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7"/>
  <sheetViews>
    <sheetView workbookViewId="0">
      <selection activeCell="A2" sqref="A2:F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9" ht="18" x14ac:dyDescent="0.25">
      <c r="A1" s="5"/>
      <c r="B1" s="5"/>
      <c r="C1" s="5"/>
      <c r="D1" s="5"/>
      <c r="E1" s="6"/>
      <c r="F1" s="6"/>
    </row>
    <row r="2" spans="1:9" ht="18" customHeight="1" x14ac:dyDescent="0.25">
      <c r="A2" s="189" t="s">
        <v>40</v>
      </c>
      <c r="B2" s="189"/>
      <c r="C2" s="189"/>
      <c r="D2" s="189"/>
      <c r="E2" s="189"/>
      <c r="F2" s="189"/>
      <c r="G2" s="37"/>
      <c r="H2" s="37"/>
      <c r="I2" s="37"/>
    </row>
    <row r="3" spans="1:9" ht="15.75" x14ac:dyDescent="0.25">
      <c r="A3" s="189"/>
      <c r="B3" s="189"/>
      <c r="C3" s="189"/>
      <c r="D3" s="189"/>
      <c r="E3" s="189"/>
      <c r="F3" s="189"/>
      <c r="G3" s="189"/>
      <c r="H3" s="189"/>
      <c r="I3" s="189"/>
    </row>
    <row r="4" spans="1:9" ht="15.75" x14ac:dyDescent="0.25">
      <c r="A4" s="189" t="s">
        <v>18</v>
      </c>
      <c r="B4" s="190"/>
      <c r="C4" s="190"/>
      <c r="D4" s="190"/>
      <c r="E4" s="190"/>
      <c r="F4" s="190"/>
    </row>
    <row r="5" spans="1:9" ht="18" x14ac:dyDescent="0.25">
      <c r="A5" s="5"/>
      <c r="B5" s="5"/>
      <c r="C5" s="5"/>
      <c r="D5" s="5"/>
      <c r="E5" s="6"/>
      <c r="F5" s="6"/>
    </row>
    <row r="6" spans="1:9" ht="15.75" x14ac:dyDescent="0.25">
      <c r="A6" s="189" t="s">
        <v>221</v>
      </c>
      <c r="B6" s="213"/>
      <c r="C6" s="213"/>
      <c r="D6" s="213"/>
      <c r="E6" s="213"/>
      <c r="F6" s="213"/>
    </row>
    <row r="7" spans="1:9" ht="15.75" customHeight="1" x14ac:dyDescent="0.25">
      <c r="A7" s="5"/>
      <c r="B7" s="5"/>
      <c r="C7" s="5"/>
      <c r="D7" s="5"/>
      <c r="E7" s="6"/>
      <c r="F7" s="6"/>
    </row>
    <row r="8" spans="1:9" ht="30.75" customHeight="1" x14ac:dyDescent="0.25">
      <c r="A8" s="23" t="s">
        <v>32</v>
      </c>
      <c r="B8" s="22" t="s">
        <v>12</v>
      </c>
      <c r="C8" s="23" t="s">
        <v>13</v>
      </c>
      <c r="D8" s="23" t="s">
        <v>14</v>
      </c>
      <c r="E8" s="23" t="s">
        <v>15</v>
      </c>
      <c r="F8" s="23" t="s">
        <v>16</v>
      </c>
    </row>
    <row r="9" spans="1:9" ht="15.75" customHeight="1" x14ac:dyDescent="0.25">
      <c r="A9" s="13" t="s">
        <v>33</v>
      </c>
      <c r="B9" s="48">
        <f>B10+B12+B11+B13+B14+B15+B17+B18+B23</f>
        <v>1775803.7454376535</v>
      </c>
      <c r="C9" s="48">
        <f>C10+C12+C11+C13+C14+C15+C17+C18+C23+C16</f>
        <v>1633979.3350587296</v>
      </c>
      <c r="D9" s="140">
        <f t="shared" ref="D9:F9" si="0">D10+D12+D11+D13+D14+D15+D17+D18+D23+D16</f>
        <v>1572634.55</v>
      </c>
      <c r="E9" s="140">
        <f t="shared" si="0"/>
        <v>1518700</v>
      </c>
      <c r="F9" s="140">
        <f t="shared" si="0"/>
        <v>1530836.9999999998</v>
      </c>
    </row>
    <row r="10" spans="1:9" x14ac:dyDescent="0.25">
      <c r="A10" s="13" t="s">
        <v>34</v>
      </c>
      <c r="B10" s="45">
        <f>1736708.35/7.5345</f>
        <v>230500.80960913133</v>
      </c>
      <c r="C10" s="46">
        <f>2535996.8/7.5345</f>
        <v>336584.61742650473</v>
      </c>
      <c r="D10" s="129">
        <f>54973.82+289908.41+1327.23+19908.42</f>
        <v>366117.87999999995</v>
      </c>
      <c r="E10" s="129">
        <f>55800+274823+1400+225000</f>
        <v>557023</v>
      </c>
      <c r="F10" s="129">
        <f>75800+242731+10000</f>
        <v>328531</v>
      </c>
    </row>
    <row r="11" spans="1:9" x14ac:dyDescent="0.25">
      <c r="A11" s="13" t="s">
        <v>72</v>
      </c>
      <c r="B11" s="45"/>
      <c r="C11" s="46"/>
      <c r="D11" s="129"/>
      <c r="E11" s="129"/>
      <c r="F11" s="129"/>
    </row>
    <row r="12" spans="1:9" x14ac:dyDescent="0.25">
      <c r="A12" s="13" t="s">
        <v>69</v>
      </c>
      <c r="B12" s="45">
        <f>227209.07/7.5345</f>
        <v>30155.825867675358</v>
      </c>
      <c r="C12" s="46">
        <f>232000/7.5345</f>
        <v>30791.691552193242</v>
      </c>
      <c r="D12" s="129">
        <v>30791.69</v>
      </c>
      <c r="E12" s="129">
        <v>33900</v>
      </c>
      <c r="F12" s="151">
        <v>34000</v>
      </c>
    </row>
    <row r="13" spans="1:9" x14ac:dyDescent="0.25">
      <c r="A13" s="50" t="s">
        <v>35</v>
      </c>
      <c r="B13" s="45">
        <f>140074.74/7.5345</f>
        <v>18591.112880748555</v>
      </c>
      <c r="C13" s="46">
        <f>209000/7.5345</f>
        <v>27739.066958656844</v>
      </c>
      <c r="D13" s="129">
        <f>27739.06</f>
        <v>27739.06</v>
      </c>
      <c r="E13" s="129">
        <f>27300</f>
        <v>27300</v>
      </c>
      <c r="F13" s="151">
        <f>27300</f>
        <v>27300</v>
      </c>
    </row>
    <row r="14" spans="1:9" x14ac:dyDescent="0.25">
      <c r="A14" s="13" t="s">
        <v>70</v>
      </c>
      <c r="B14" s="51">
        <f>6005707.64/7.5345</f>
        <v>797094.38449797593</v>
      </c>
      <c r="C14" s="51">
        <f>2119400/7.5345</f>
        <v>281292.72015395842</v>
      </c>
      <c r="D14" s="51">
        <f>27340.9+9954.21</f>
        <v>37295.11</v>
      </c>
      <c r="E14" s="51">
        <f>22800+10000</f>
        <v>32800</v>
      </c>
      <c r="F14" s="51">
        <f>23500+10000</f>
        <v>33500</v>
      </c>
    </row>
    <row r="15" spans="1:9" ht="25.5" x14ac:dyDescent="0.25">
      <c r="A15" s="13" t="s">
        <v>71</v>
      </c>
      <c r="B15" s="51">
        <f>2594498.56/7.5345</f>
        <v>344349.13531090319</v>
      </c>
      <c r="C15" s="51">
        <f>3819100/7.5345</f>
        <v>506881.67761629832</v>
      </c>
      <c r="D15" s="51">
        <f>762757.98-27340.9-9954.21-152631.23-19908.42</f>
        <v>552923.22</v>
      </c>
      <c r="E15" s="51">
        <f>784807-22800-10000-15000+20870-225000</f>
        <v>532877</v>
      </c>
      <c r="F15" s="51">
        <f>805886-23500-10000-8000+22045.07-10000</f>
        <v>776431.07</v>
      </c>
    </row>
    <row r="16" spans="1:9" x14ac:dyDescent="0.25">
      <c r="A16" s="13" t="s">
        <v>73</v>
      </c>
      <c r="B16" s="51"/>
      <c r="C16" s="51">
        <f>75000/7.5345</f>
        <v>9954.2106310969539</v>
      </c>
      <c r="D16" s="51">
        <v>21899.26</v>
      </c>
      <c r="E16" s="51">
        <v>10000</v>
      </c>
      <c r="F16" s="51">
        <v>10000</v>
      </c>
    </row>
    <row r="17" spans="1:6" x14ac:dyDescent="0.25">
      <c r="A17" s="13" t="s">
        <v>74</v>
      </c>
      <c r="B17" s="51">
        <f>997524.25/7.5345</f>
        <v>132394.21992169353</v>
      </c>
      <c r="C17" s="51">
        <f>1007800/7.5345</f>
        <v>133758.04632026012</v>
      </c>
      <c r="D17" s="51">
        <f>152631.23+70343.09</f>
        <v>222974.32</v>
      </c>
      <c r="E17" s="51">
        <f>15000+44070</f>
        <v>59070</v>
      </c>
      <c r="F17" s="51">
        <f>8000+44020</f>
        <v>52020</v>
      </c>
    </row>
    <row r="18" spans="1:6" x14ac:dyDescent="0.25">
      <c r="A18" s="13" t="s">
        <v>75</v>
      </c>
      <c r="B18" s="51">
        <f>1220372.2/7.5345</f>
        <v>161971.22569513568</v>
      </c>
      <c r="C18" s="51">
        <f>C19+C20+C21+C22</f>
        <v>209281.96960647689</v>
      </c>
      <c r="D18" s="51">
        <f t="shared" ref="D18:F18" si="1">D19+D20+D21+D22</f>
        <v>227447.08000000002</v>
      </c>
      <c r="E18" s="51">
        <f t="shared" si="1"/>
        <v>209130</v>
      </c>
      <c r="F18" s="51">
        <f t="shared" si="1"/>
        <v>210954.93</v>
      </c>
    </row>
    <row r="19" spans="1:6" x14ac:dyDescent="0.25">
      <c r="A19" s="17" t="s">
        <v>76</v>
      </c>
      <c r="B19" s="51">
        <f>1135582.2/7.5345</f>
        <v>150717.65876965955</v>
      </c>
      <c r="C19" s="51">
        <f>1461835/7.5345</f>
        <v>194018.84663879487</v>
      </c>
      <c r="D19" s="51">
        <v>208865.88</v>
      </c>
      <c r="E19" s="51">
        <v>189130</v>
      </c>
      <c r="F19" s="51">
        <v>190954.93</v>
      </c>
    </row>
    <row r="20" spans="1:6" x14ac:dyDescent="0.25">
      <c r="A20" s="52" t="s">
        <v>77</v>
      </c>
      <c r="B20" s="51">
        <f>25540/7.5345</f>
        <v>3389.7405269095493</v>
      </c>
      <c r="C20" s="51">
        <f>40000/7.5345</f>
        <v>5308.9123365850419</v>
      </c>
      <c r="D20" s="51">
        <v>3981.69</v>
      </c>
      <c r="E20" s="51">
        <v>4000</v>
      </c>
      <c r="F20" s="51">
        <v>4000</v>
      </c>
    </row>
    <row r="21" spans="1:6" x14ac:dyDescent="0.25">
      <c r="A21" s="17" t="s">
        <v>78</v>
      </c>
      <c r="B21" s="51">
        <f>20250/7.5345</f>
        <v>2687.6368703961775</v>
      </c>
      <c r="C21" s="51">
        <f>35000/7.5345</f>
        <v>4645.298294511912</v>
      </c>
      <c r="D21" s="51">
        <v>3318.07</v>
      </c>
      <c r="E21" s="51">
        <v>4000</v>
      </c>
      <c r="F21" s="51">
        <v>4000</v>
      </c>
    </row>
    <row r="22" spans="1:6" x14ac:dyDescent="0.25">
      <c r="A22" s="17" t="s">
        <v>79</v>
      </c>
      <c r="B22" s="51">
        <f>39000/7.5345</f>
        <v>5176.1895281704155</v>
      </c>
      <c r="C22" s="51">
        <f>40000/7.5345</f>
        <v>5308.9123365850419</v>
      </c>
      <c r="D22" s="51">
        <v>11281.44</v>
      </c>
      <c r="E22" s="51">
        <v>12000</v>
      </c>
      <c r="F22" s="51">
        <v>12000</v>
      </c>
    </row>
    <row r="23" spans="1:6" x14ac:dyDescent="0.25">
      <c r="A23" s="13" t="s">
        <v>80</v>
      </c>
      <c r="B23" s="51">
        <f>457698.51/7.5345</f>
        <v>60747.031654389808</v>
      </c>
      <c r="C23" s="51">
        <f>736085.5/7.5345</f>
        <v>97695.334793284215</v>
      </c>
      <c r="D23" s="51">
        <f>107346.19-21899.26</f>
        <v>85446.930000000008</v>
      </c>
      <c r="E23" s="51">
        <f>66600-10000</f>
        <v>56600</v>
      </c>
      <c r="F23" s="51">
        <f>66700-10000+1400</f>
        <v>58100</v>
      </c>
    </row>
    <row r="24" spans="1:6" x14ac:dyDescent="0.25">
      <c r="B24" s="39"/>
      <c r="C24" s="39"/>
      <c r="D24" s="39"/>
      <c r="E24" s="39"/>
      <c r="F24" s="39"/>
    </row>
    <row r="25" spans="1:6" x14ac:dyDescent="0.25">
      <c r="B25" s="39"/>
      <c r="C25" s="39"/>
      <c r="D25" s="39"/>
      <c r="E25" s="39"/>
      <c r="F25" s="39"/>
    </row>
    <row r="26" spans="1:6" x14ac:dyDescent="0.25">
      <c r="B26" s="39"/>
      <c r="C26" s="39"/>
      <c r="D26" s="39"/>
      <c r="E26" s="39"/>
      <c r="F26" s="39"/>
    </row>
    <row r="27" spans="1:6" x14ac:dyDescent="0.25">
      <c r="B27" s="39"/>
      <c r="C27" s="39"/>
      <c r="D27" s="141"/>
      <c r="E27" s="39"/>
      <c r="F27" s="39"/>
    </row>
  </sheetData>
  <mergeCells count="4">
    <mergeCell ref="A2:F2"/>
    <mergeCell ref="A4:F4"/>
    <mergeCell ref="A6:F6"/>
    <mergeCell ref="A3:I3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5"/>
  <sheetViews>
    <sheetView workbookViewId="0">
      <selection activeCell="A2" sqref="A2:I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18" x14ac:dyDescent="0.25">
      <c r="A1" s="5"/>
      <c r="B1" s="5"/>
      <c r="C1" s="5"/>
      <c r="D1" s="5"/>
      <c r="E1" s="5"/>
      <c r="F1" s="5"/>
      <c r="G1" s="5"/>
      <c r="H1" s="6"/>
      <c r="I1" s="6"/>
    </row>
    <row r="2" spans="1:9" ht="15.75" x14ac:dyDescent="0.25">
      <c r="A2" s="189" t="s">
        <v>40</v>
      </c>
      <c r="B2" s="189"/>
      <c r="C2" s="189"/>
      <c r="D2" s="189"/>
      <c r="E2" s="189"/>
      <c r="F2" s="189"/>
      <c r="G2" s="189"/>
      <c r="H2" s="189"/>
      <c r="I2" s="189"/>
    </row>
    <row r="3" spans="1:9" ht="18" x14ac:dyDescent="0.25">
      <c r="A3" s="5"/>
      <c r="B3" s="5"/>
      <c r="C3" s="5"/>
      <c r="D3" s="5"/>
      <c r="E3" s="5"/>
      <c r="F3" s="5"/>
      <c r="G3" s="5"/>
      <c r="H3" s="6"/>
      <c r="I3" s="6"/>
    </row>
    <row r="4" spans="1:9" ht="18" customHeight="1" x14ac:dyDescent="0.25">
      <c r="A4" s="189" t="s">
        <v>36</v>
      </c>
      <c r="B4" s="190"/>
      <c r="C4" s="190"/>
      <c r="D4" s="190"/>
      <c r="E4" s="190"/>
      <c r="F4" s="190"/>
      <c r="G4" s="190"/>
      <c r="H4" s="190"/>
      <c r="I4" s="190"/>
    </row>
    <row r="5" spans="1:9" ht="18" customHeight="1" x14ac:dyDescent="0.25">
      <c r="A5" s="37"/>
      <c r="B5" s="177"/>
      <c r="C5" s="177"/>
      <c r="D5" s="177"/>
      <c r="E5" s="177"/>
      <c r="F5" s="177"/>
      <c r="G5" s="177"/>
      <c r="H5" s="177"/>
      <c r="I5" s="177"/>
    </row>
    <row r="6" spans="1:9" ht="18" customHeight="1" x14ac:dyDescent="0.25">
      <c r="A6" s="201" t="s">
        <v>222</v>
      </c>
      <c r="B6" s="201"/>
      <c r="C6" s="201"/>
      <c r="D6" s="201"/>
      <c r="E6" s="201"/>
      <c r="F6" s="201"/>
      <c r="G6" s="201"/>
      <c r="H6" s="201"/>
      <c r="I6" s="201"/>
    </row>
    <row r="7" spans="1:9" ht="18" x14ac:dyDescent="0.25">
      <c r="A7" s="5"/>
      <c r="B7" s="5"/>
      <c r="C7" s="5"/>
      <c r="D7" s="5"/>
      <c r="E7" s="5"/>
      <c r="F7" s="5"/>
      <c r="G7" s="5"/>
      <c r="H7" s="6"/>
      <c r="I7" s="6"/>
    </row>
    <row r="8" spans="1:9" ht="25.5" x14ac:dyDescent="0.25">
      <c r="A8" s="23" t="s">
        <v>19</v>
      </c>
      <c r="B8" s="22" t="s">
        <v>20</v>
      </c>
      <c r="C8" s="22" t="s">
        <v>21</v>
      </c>
      <c r="D8" s="22" t="s">
        <v>55</v>
      </c>
      <c r="E8" s="22" t="s">
        <v>12</v>
      </c>
      <c r="F8" s="23" t="s">
        <v>13</v>
      </c>
      <c r="G8" s="23" t="s">
        <v>14</v>
      </c>
      <c r="H8" s="23" t="s">
        <v>15</v>
      </c>
      <c r="I8" s="23" t="s">
        <v>16</v>
      </c>
    </row>
    <row r="9" spans="1:9" ht="25.5" x14ac:dyDescent="0.25">
      <c r="A9" s="13">
        <v>8</v>
      </c>
      <c r="B9" s="13"/>
      <c r="C9" s="13"/>
      <c r="D9" s="13" t="s">
        <v>37</v>
      </c>
      <c r="E9" s="10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3"/>
      <c r="B10" s="17">
        <v>84</v>
      </c>
      <c r="C10" s="17"/>
      <c r="D10" s="17" t="s">
        <v>44</v>
      </c>
      <c r="E10" s="10"/>
      <c r="F10" s="11"/>
      <c r="G10" s="11"/>
      <c r="H10" s="11"/>
      <c r="I10" s="11"/>
    </row>
    <row r="11" spans="1:9" ht="25.5" x14ac:dyDescent="0.25">
      <c r="A11" s="14"/>
      <c r="B11" s="14"/>
      <c r="C11" s="15">
        <v>81</v>
      </c>
      <c r="D11" s="18" t="s">
        <v>45</v>
      </c>
      <c r="E11" s="10"/>
      <c r="F11" s="11"/>
      <c r="G11" s="11"/>
      <c r="H11" s="11"/>
      <c r="I11" s="11"/>
    </row>
    <row r="12" spans="1:9" ht="25.5" x14ac:dyDescent="0.25">
      <c r="A12" s="16">
        <v>5</v>
      </c>
      <c r="B12" s="16"/>
      <c r="C12" s="16"/>
      <c r="D12" s="35" t="s">
        <v>38</v>
      </c>
      <c r="E12" s="10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ht="25.5" x14ac:dyDescent="0.25">
      <c r="A13" s="17"/>
      <c r="B13" s="17">
        <v>54</v>
      </c>
      <c r="C13" s="17"/>
      <c r="D13" s="36" t="s">
        <v>46</v>
      </c>
      <c r="E13" s="10"/>
      <c r="F13" s="11"/>
      <c r="G13" s="11"/>
      <c r="H13" s="11"/>
      <c r="I13" s="12"/>
    </row>
    <row r="14" spans="1:9" x14ac:dyDescent="0.25">
      <c r="A14" s="17"/>
      <c r="B14" s="17"/>
      <c r="C14" s="127" t="s">
        <v>198</v>
      </c>
      <c r="D14" s="128" t="s">
        <v>24</v>
      </c>
      <c r="E14" s="10"/>
      <c r="F14" s="11"/>
      <c r="G14" s="11"/>
      <c r="H14" s="11"/>
      <c r="I14" s="12"/>
    </row>
    <row r="15" spans="1:9" x14ac:dyDescent="0.25">
      <c r="A15" s="17"/>
      <c r="B15" s="17"/>
      <c r="C15" s="15">
        <v>31</v>
      </c>
      <c r="D15" s="15" t="s">
        <v>47</v>
      </c>
      <c r="E15" s="10"/>
      <c r="F15" s="11"/>
      <c r="G15" s="11"/>
      <c r="H15" s="11"/>
      <c r="I15" s="12"/>
    </row>
  </sheetData>
  <mergeCells count="3">
    <mergeCell ref="A2:I2"/>
    <mergeCell ref="A4:I4"/>
    <mergeCell ref="A6:I6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403"/>
  <sheetViews>
    <sheetView topLeftCell="A370" workbookViewId="0">
      <selection activeCell="L389" sqref="L389"/>
    </sheetView>
  </sheetViews>
  <sheetFormatPr defaultRowHeight="15" x14ac:dyDescent="0.25"/>
  <cols>
    <col min="1" max="1" width="3.7109375" customWidth="1"/>
    <col min="2" max="2" width="8.42578125" customWidth="1"/>
    <col min="3" max="3" width="8.7109375" customWidth="1"/>
    <col min="4" max="4" width="30" customWidth="1"/>
    <col min="5" max="5" width="17.85546875" customWidth="1"/>
    <col min="6" max="6" width="17.5703125" customWidth="1"/>
    <col min="7" max="7" width="17" customWidth="1"/>
    <col min="8" max="9" width="15.140625" customWidth="1"/>
  </cols>
  <sheetData>
    <row r="2" spans="1:9" ht="18" customHeight="1" x14ac:dyDescent="0.25">
      <c r="A2" s="196" t="s">
        <v>39</v>
      </c>
      <c r="B2" s="298"/>
      <c r="C2" s="298"/>
      <c r="D2" s="298"/>
      <c r="E2" s="298"/>
      <c r="F2" s="298"/>
      <c r="G2" s="298"/>
      <c r="H2" s="298"/>
      <c r="I2" s="298"/>
    </row>
    <row r="3" spans="1:9" ht="18" customHeight="1" x14ac:dyDescent="0.25">
      <c r="A3" s="37"/>
      <c r="B3" s="177"/>
      <c r="C3" s="177"/>
      <c r="D3" s="177"/>
      <c r="E3" s="177"/>
      <c r="F3" s="177"/>
      <c r="G3" s="177"/>
      <c r="H3" s="177"/>
      <c r="I3" s="177"/>
    </row>
    <row r="4" spans="1:9" ht="18" customHeight="1" x14ac:dyDescent="0.25">
      <c r="A4" s="306" t="s">
        <v>223</v>
      </c>
      <c r="B4" s="306"/>
      <c r="C4" s="306"/>
      <c r="D4" s="306"/>
      <c r="E4" s="306"/>
      <c r="F4" s="306"/>
      <c r="G4" s="306"/>
      <c r="H4" s="306"/>
      <c r="I4" s="306"/>
    </row>
    <row r="5" spans="1:9" ht="18" customHeight="1" x14ac:dyDescent="0.25">
      <c r="A5" s="37"/>
      <c r="B5" s="177"/>
      <c r="C5" s="177"/>
      <c r="D5" s="177"/>
      <c r="E5" s="177"/>
      <c r="F5" s="177"/>
      <c r="G5" s="177"/>
      <c r="H5" s="177"/>
      <c r="I5" s="177"/>
    </row>
    <row r="6" spans="1:9" ht="36" customHeight="1" x14ac:dyDescent="0.25">
      <c r="A6" s="197" t="s">
        <v>235</v>
      </c>
      <c r="B6" s="197"/>
      <c r="C6" s="197"/>
      <c r="D6" s="197"/>
      <c r="E6" s="197"/>
      <c r="F6" s="197"/>
      <c r="G6" s="197"/>
      <c r="H6" s="197"/>
      <c r="I6" s="197"/>
    </row>
    <row r="7" spans="1:9" ht="18" customHeight="1" x14ac:dyDescent="0.25">
      <c r="A7" s="37"/>
      <c r="B7" s="177"/>
      <c r="C7" s="177"/>
      <c r="D7" s="177"/>
      <c r="E7" s="177"/>
      <c r="F7" s="177"/>
      <c r="G7" s="177"/>
      <c r="H7" s="177"/>
      <c r="I7" s="177"/>
    </row>
    <row r="8" spans="1:9" ht="38.25" x14ac:dyDescent="0.25">
      <c r="A8" s="299" t="s">
        <v>41</v>
      </c>
      <c r="B8" s="300"/>
      <c r="C8" s="301"/>
      <c r="D8" s="22" t="s">
        <v>42</v>
      </c>
      <c r="E8" s="22" t="s">
        <v>12</v>
      </c>
      <c r="F8" s="23" t="s">
        <v>13</v>
      </c>
      <c r="G8" s="23" t="s">
        <v>14</v>
      </c>
      <c r="H8" s="23" t="s">
        <v>15</v>
      </c>
      <c r="I8" s="23" t="s">
        <v>16</v>
      </c>
    </row>
    <row r="9" spans="1:9" x14ac:dyDescent="0.25">
      <c r="A9" s="322" t="s">
        <v>186</v>
      </c>
      <c r="B9" s="323"/>
      <c r="C9" s="323"/>
      <c r="D9" s="324"/>
      <c r="E9" s="98">
        <f>E10+E34</f>
        <v>1775803.7454376535</v>
      </c>
      <c r="F9" s="98">
        <f t="shared" ref="F9:I9" si="0">F10+F34</f>
        <v>1633979.3350587296</v>
      </c>
      <c r="G9" s="98">
        <f t="shared" si="0"/>
        <v>1572634.55</v>
      </c>
      <c r="H9" s="98">
        <f t="shared" si="0"/>
        <v>1518700</v>
      </c>
      <c r="I9" s="98">
        <f t="shared" si="0"/>
        <v>1530837</v>
      </c>
    </row>
    <row r="10" spans="1:9" ht="15.75" customHeight="1" x14ac:dyDescent="0.25">
      <c r="A10" s="302" t="s">
        <v>81</v>
      </c>
      <c r="B10" s="302"/>
      <c r="C10" s="302"/>
      <c r="D10" s="302"/>
      <c r="E10" s="70">
        <f>E11</f>
        <v>62322.151436724402</v>
      </c>
      <c r="F10" s="70">
        <f t="shared" ref="F10:I10" si="1">F11</f>
        <v>53706.284424978425</v>
      </c>
      <c r="G10" s="70">
        <f t="shared" si="1"/>
        <v>54973.820000000007</v>
      </c>
      <c r="H10" s="70">
        <f t="shared" si="1"/>
        <v>55800</v>
      </c>
      <c r="I10" s="70">
        <f t="shared" si="1"/>
        <v>75800</v>
      </c>
    </row>
    <row r="11" spans="1:9" ht="15.75" customHeight="1" x14ac:dyDescent="0.25">
      <c r="A11" s="303" t="s">
        <v>82</v>
      </c>
      <c r="B11" s="304"/>
      <c r="C11" s="304"/>
      <c r="D11" s="305"/>
      <c r="E11" s="123">
        <f>E12+E29</f>
        <v>62322.151436724402</v>
      </c>
      <c r="F11" s="123">
        <f t="shared" ref="F11:I11" si="2">F12+F29</f>
        <v>53706.284424978425</v>
      </c>
      <c r="G11" s="123">
        <f t="shared" si="2"/>
        <v>54973.820000000007</v>
      </c>
      <c r="H11" s="123">
        <f t="shared" si="2"/>
        <v>55800</v>
      </c>
      <c r="I11" s="123">
        <f t="shared" si="2"/>
        <v>75800</v>
      </c>
    </row>
    <row r="12" spans="1:9" ht="15" customHeight="1" x14ac:dyDescent="0.25">
      <c r="A12" s="99" t="s">
        <v>83</v>
      </c>
      <c r="B12" s="99"/>
      <c r="C12" s="99"/>
      <c r="D12" s="99"/>
      <c r="E12" s="100">
        <f>E13+E24+E19</f>
        <v>58433.536399230208</v>
      </c>
      <c r="F12" s="100">
        <f t="shared" ref="F12:I12" si="3">F13+F24+F19</f>
        <v>47070.144004247122</v>
      </c>
      <c r="G12" s="100">
        <f t="shared" si="3"/>
        <v>45683.23</v>
      </c>
      <c r="H12" s="100">
        <f t="shared" si="3"/>
        <v>46500</v>
      </c>
      <c r="I12" s="100">
        <f t="shared" si="3"/>
        <v>66500</v>
      </c>
    </row>
    <row r="13" spans="1:9" ht="15" customHeight="1" x14ac:dyDescent="0.25">
      <c r="A13" s="248" t="s">
        <v>203</v>
      </c>
      <c r="B13" s="249"/>
      <c r="C13" s="249"/>
      <c r="D13" s="250"/>
      <c r="E13" s="81">
        <f>E15</f>
        <v>36178.901055146329</v>
      </c>
      <c r="F13" s="81">
        <f t="shared" ref="F13:I13" si="4">F15</f>
        <v>41601.964297564526</v>
      </c>
      <c r="G13" s="81">
        <f t="shared" si="4"/>
        <v>40215.060000000005</v>
      </c>
      <c r="H13" s="81">
        <f t="shared" si="4"/>
        <v>41000</v>
      </c>
      <c r="I13" s="81">
        <f t="shared" si="4"/>
        <v>41000</v>
      </c>
    </row>
    <row r="14" spans="1:9" ht="15" customHeight="1" x14ac:dyDescent="0.25">
      <c r="A14" s="273" t="s">
        <v>84</v>
      </c>
      <c r="B14" s="274"/>
      <c r="C14" s="274"/>
      <c r="D14" s="274"/>
      <c r="E14" s="65">
        <f>E15</f>
        <v>36178.901055146329</v>
      </c>
      <c r="F14" s="65">
        <f t="shared" ref="F14:I14" si="5">F15</f>
        <v>41601.964297564526</v>
      </c>
      <c r="G14" s="65">
        <f t="shared" si="5"/>
        <v>40215.060000000005</v>
      </c>
      <c r="H14" s="65">
        <f t="shared" si="5"/>
        <v>41000</v>
      </c>
      <c r="I14" s="65">
        <f t="shared" si="5"/>
        <v>41000</v>
      </c>
    </row>
    <row r="15" spans="1:9" x14ac:dyDescent="0.25">
      <c r="A15" s="219">
        <v>3</v>
      </c>
      <c r="B15" s="220"/>
      <c r="C15" s="221"/>
      <c r="D15" s="25" t="s">
        <v>26</v>
      </c>
      <c r="E15" s="45">
        <f>E16+E17+E18</f>
        <v>36178.901055146329</v>
      </c>
      <c r="F15" s="45">
        <f>F16+F17+F18</f>
        <v>41601.964297564526</v>
      </c>
      <c r="G15" s="45">
        <f t="shared" ref="G15:I15" si="6">G16+G17+G18</f>
        <v>40215.060000000005</v>
      </c>
      <c r="H15" s="45">
        <f t="shared" si="6"/>
        <v>41000</v>
      </c>
      <c r="I15" s="45">
        <f t="shared" si="6"/>
        <v>41000</v>
      </c>
    </row>
    <row r="16" spans="1:9" x14ac:dyDescent="0.25">
      <c r="A16" s="216">
        <v>31</v>
      </c>
      <c r="B16" s="217"/>
      <c r="C16" s="218"/>
      <c r="D16" s="25" t="s">
        <v>29</v>
      </c>
      <c r="E16" s="45">
        <f>172953.54/7.5345</f>
        <v>22954.879554051364</v>
      </c>
      <c r="F16" s="46">
        <f>201450/7.5345</f>
        <v>26737.009755126415</v>
      </c>
      <c r="G16" s="46">
        <v>25615.5</v>
      </c>
      <c r="H16" s="46">
        <v>25600</v>
      </c>
      <c r="I16" s="47">
        <v>25600</v>
      </c>
    </row>
    <row r="17" spans="1:9" x14ac:dyDescent="0.25">
      <c r="A17" s="253">
        <v>32</v>
      </c>
      <c r="B17" s="254"/>
      <c r="C17" s="255"/>
      <c r="D17" s="25" t="s">
        <v>43</v>
      </c>
      <c r="E17" s="45">
        <f>99636.39/7.5345</f>
        <v>13224.021501094963</v>
      </c>
      <c r="F17" s="46">
        <f>97000/7.5345</f>
        <v>12874.112416218726</v>
      </c>
      <c r="G17" s="46">
        <v>12608.66</v>
      </c>
      <c r="H17" s="46">
        <v>13409</v>
      </c>
      <c r="I17" s="46">
        <v>13409</v>
      </c>
    </row>
    <row r="18" spans="1:9" x14ac:dyDescent="0.25">
      <c r="A18" s="253">
        <v>38</v>
      </c>
      <c r="B18" s="254"/>
      <c r="C18" s="255"/>
      <c r="D18" s="25" t="s">
        <v>64</v>
      </c>
      <c r="E18" s="60">
        <f>0</f>
        <v>0</v>
      </c>
      <c r="F18" s="46">
        <f>15000/7.5345</f>
        <v>1990.8421262193906</v>
      </c>
      <c r="G18" s="46">
        <v>1990.9</v>
      </c>
      <c r="H18" s="46">
        <v>1991</v>
      </c>
      <c r="I18" s="46">
        <v>1991</v>
      </c>
    </row>
    <row r="19" spans="1:9" ht="15" customHeight="1" x14ac:dyDescent="0.25">
      <c r="A19" s="275" t="s">
        <v>154</v>
      </c>
      <c r="B19" s="276"/>
      <c r="C19" s="276"/>
      <c r="D19" s="277"/>
      <c r="E19" s="97">
        <f>E20</f>
        <v>5916.1643108368171</v>
      </c>
      <c r="F19" s="97">
        <f t="shared" ref="F19:H19" si="7">F20</f>
        <v>5468.179706682593</v>
      </c>
      <c r="G19" s="97">
        <f t="shared" si="7"/>
        <v>5468.17</v>
      </c>
      <c r="H19" s="97">
        <f t="shared" si="7"/>
        <v>5500</v>
      </c>
      <c r="I19" s="97">
        <f>I20</f>
        <v>5500</v>
      </c>
    </row>
    <row r="20" spans="1:9" x14ac:dyDescent="0.25">
      <c r="A20" s="278" t="s">
        <v>85</v>
      </c>
      <c r="B20" s="279"/>
      <c r="C20" s="279"/>
      <c r="D20" s="279"/>
      <c r="E20" s="66">
        <f>E21</f>
        <v>5916.1643108368171</v>
      </c>
      <c r="F20" s="66">
        <f t="shared" ref="F20:I20" si="8">F21</f>
        <v>5468.179706682593</v>
      </c>
      <c r="G20" s="66">
        <f t="shared" si="8"/>
        <v>5468.17</v>
      </c>
      <c r="H20" s="66">
        <f t="shared" si="8"/>
        <v>5500</v>
      </c>
      <c r="I20" s="66">
        <f t="shared" si="8"/>
        <v>5500</v>
      </c>
    </row>
    <row r="21" spans="1:9" x14ac:dyDescent="0.25">
      <c r="A21" s="219">
        <v>3</v>
      </c>
      <c r="B21" s="220"/>
      <c r="C21" s="221"/>
      <c r="D21" s="25" t="s">
        <v>26</v>
      </c>
      <c r="E21" s="45">
        <f>E22+E23</f>
        <v>5916.1643108368171</v>
      </c>
      <c r="F21" s="45">
        <f t="shared" ref="F21:I21" si="9">F22+F23</f>
        <v>5468.179706682593</v>
      </c>
      <c r="G21" s="45">
        <f>G22+G23</f>
        <v>5468.17</v>
      </c>
      <c r="H21" s="45">
        <f t="shared" si="9"/>
        <v>5500</v>
      </c>
      <c r="I21" s="45">
        <f t="shared" si="9"/>
        <v>5500</v>
      </c>
    </row>
    <row r="22" spans="1:9" x14ac:dyDescent="0.25">
      <c r="A22" s="253">
        <v>32</v>
      </c>
      <c r="B22" s="254"/>
      <c r="C22" s="255"/>
      <c r="D22" s="25" t="s">
        <v>43</v>
      </c>
      <c r="E22" s="45">
        <f>36199.64/7.5345</f>
        <v>4804.5178843984331</v>
      </c>
      <c r="F22" s="46">
        <f>31000/7.5345</f>
        <v>4114.4070608534075</v>
      </c>
      <c r="G22" s="46">
        <v>4114.3999999999996</v>
      </c>
      <c r="H22" s="46">
        <v>4145</v>
      </c>
      <c r="I22" s="47">
        <v>4145</v>
      </c>
    </row>
    <row r="23" spans="1:9" x14ac:dyDescent="0.25">
      <c r="A23" s="253">
        <v>38</v>
      </c>
      <c r="B23" s="254"/>
      <c r="C23" s="255"/>
      <c r="D23" s="25" t="s">
        <v>64</v>
      </c>
      <c r="E23" s="45">
        <f>8375.7/7.5345</f>
        <v>1111.6464264383835</v>
      </c>
      <c r="F23" s="46">
        <f>10200/7.5345</f>
        <v>1353.7726458291856</v>
      </c>
      <c r="G23" s="46">
        <v>1353.77</v>
      </c>
      <c r="H23" s="46">
        <v>1355</v>
      </c>
      <c r="I23" s="47">
        <v>1355</v>
      </c>
    </row>
    <row r="24" spans="1:9" x14ac:dyDescent="0.25">
      <c r="A24" s="76" t="s">
        <v>155</v>
      </c>
      <c r="B24" s="76"/>
      <c r="C24" s="76"/>
      <c r="D24" s="95"/>
      <c r="E24" s="93">
        <f>E27</f>
        <v>16338.471033247064</v>
      </c>
      <c r="F24" s="96"/>
      <c r="G24" s="96"/>
      <c r="H24" s="96"/>
      <c r="I24" s="165">
        <f>I27</f>
        <v>20000</v>
      </c>
    </row>
    <row r="25" spans="1:9" x14ac:dyDescent="0.25">
      <c r="A25" s="62" t="s">
        <v>86</v>
      </c>
      <c r="B25" s="61"/>
      <c r="C25" s="61"/>
      <c r="D25" s="61"/>
      <c r="E25" s="63">
        <f>64303.94/7.5345</f>
        <v>8534.5995089256085</v>
      </c>
      <c r="F25" s="65"/>
      <c r="G25" s="72"/>
      <c r="H25" s="72"/>
      <c r="I25" s="73">
        <v>20000</v>
      </c>
    </row>
    <row r="26" spans="1:9" x14ac:dyDescent="0.25">
      <c r="A26" s="273" t="s">
        <v>84</v>
      </c>
      <c r="B26" s="274"/>
      <c r="C26" s="274"/>
      <c r="D26" s="274"/>
      <c r="E26" s="74">
        <f>58798.27/7.5345</f>
        <v>7803.8715243214538</v>
      </c>
      <c r="F26" s="74"/>
      <c r="G26" s="74"/>
      <c r="H26" s="74"/>
      <c r="I26" s="74"/>
    </row>
    <row r="27" spans="1:9" x14ac:dyDescent="0.25">
      <c r="A27" s="219">
        <v>3</v>
      </c>
      <c r="B27" s="220"/>
      <c r="C27" s="221"/>
      <c r="D27" s="49" t="s">
        <v>26</v>
      </c>
      <c r="E27" s="64">
        <f>E28</f>
        <v>16338.471033247064</v>
      </c>
      <c r="F27" s="64"/>
      <c r="G27" s="64"/>
      <c r="H27" s="64"/>
      <c r="I27" s="64">
        <f>I28</f>
        <v>20000</v>
      </c>
    </row>
    <row r="28" spans="1:9" x14ac:dyDescent="0.25">
      <c r="A28" s="253">
        <v>32</v>
      </c>
      <c r="B28" s="254"/>
      <c r="C28" s="255"/>
      <c r="D28" s="49" t="s">
        <v>43</v>
      </c>
      <c r="E28" s="64">
        <f>123102.21/7.5345</f>
        <v>16338.471033247064</v>
      </c>
      <c r="F28" s="64"/>
      <c r="G28" s="64"/>
      <c r="H28" s="64"/>
      <c r="I28" s="64">
        <v>20000</v>
      </c>
    </row>
    <row r="29" spans="1:9" x14ac:dyDescent="0.25">
      <c r="A29" s="101" t="s">
        <v>87</v>
      </c>
      <c r="B29" s="101"/>
      <c r="C29" s="101"/>
      <c r="D29" s="101"/>
      <c r="E29" s="102">
        <f>E30</f>
        <v>3888.6150374941931</v>
      </c>
      <c r="F29" s="102">
        <f t="shared" ref="F29:I30" si="10">F30</f>
        <v>6636.1404207313026</v>
      </c>
      <c r="G29" s="102">
        <f t="shared" si="10"/>
        <v>9290.59</v>
      </c>
      <c r="H29" s="102">
        <f t="shared" si="10"/>
        <v>9300</v>
      </c>
      <c r="I29" s="102">
        <f t="shared" si="10"/>
        <v>9300</v>
      </c>
    </row>
    <row r="30" spans="1:9" x14ac:dyDescent="0.25">
      <c r="A30" s="248" t="s">
        <v>156</v>
      </c>
      <c r="B30" s="249"/>
      <c r="C30" s="249"/>
      <c r="D30" s="250"/>
      <c r="E30" s="93">
        <f>E31</f>
        <v>3888.6150374941931</v>
      </c>
      <c r="F30" s="93">
        <f t="shared" si="10"/>
        <v>6636.1404207313026</v>
      </c>
      <c r="G30" s="93">
        <f t="shared" si="10"/>
        <v>9290.59</v>
      </c>
      <c r="H30" s="93">
        <f t="shared" si="10"/>
        <v>9300</v>
      </c>
      <c r="I30" s="93">
        <f t="shared" si="10"/>
        <v>9300</v>
      </c>
    </row>
    <row r="31" spans="1:9" x14ac:dyDescent="0.25">
      <c r="A31" s="273" t="s">
        <v>84</v>
      </c>
      <c r="B31" s="274"/>
      <c r="C31" s="274"/>
      <c r="D31" s="274"/>
      <c r="E31" s="74">
        <f>E32</f>
        <v>3888.6150374941931</v>
      </c>
      <c r="F31" s="74">
        <f t="shared" ref="F31:I31" si="11">F32</f>
        <v>6636.1404207313026</v>
      </c>
      <c r="G31" s="74">
        <f t="shared" si="11"/>
        <v>9290.59</v>
      </c>
      <c r="H31" s="74">
        <f t="shared" si="11"/>
        <v>9300</v>
      </c>
      <c r="I31" s="74">
        <f t="shared" si="11"/>
        <v>9300</v>
      </c>
    </row>
    <row r="32" spans="1:9" x14ac:dyDescent="0.25">
      <c r="A32" s="219">
        <v>3</v>
      </c>
      <c r="B32" s="220"/>
      <c r="C32" s="221"/>
      <c r="D32" s="25" t="s">
        <v>26</v>
      </c>
      <c r="E32" s="64">
        <f>E33</f>
        <v>3888.6150374941931</v>
      </c>
      <c r="F32" s="64">
        <f t="shared" ref="F32:I32" si="12">F33</f>
        <v>6636.1404207313026</v>
      </c>
      <c r="G32" s="64">
        <f t="shared" si="12"/>
        <v>9290.59</v>
      </c>
      <c r="H32" s="64">
        <f t="shared" si="12"/>
        <v>9300</v>
      </c>
      <c r="I32" s="64">
        <f t="shared" si="12"/>
        <v>9300</v>
      </c>
    </row>
    <row r="33" spans="1:9" x14ac:dyDescent="0.25">
      <c r="A33" s="253">
        <v>32</v>
      </c>
      <c r="B33" s="254"/>
      <c r="C33" s="255"/>
      <c r="D33" s="25" t="s">
        <v>43</v>
      </c>
      <c r="E33" s="64">
        <f>29298.77/7.5345</f>
        <v>3888.6150374941931</v>
      </c>
      <c r="F33" s="64">
        <f>50000/7.5345</f>
        <v>6636.1404207313026</v>
      </c>
      <c r="G33" s="64">
        <v>9290.59</v>
      </c>
      <c r="H33" s="64">
        <v>9300</v>
      </c>
      <c r="I33" s="64">
        <v>9300</v>
      </c>
    </row>
    <row r="34" spans="1:9" ht="15.75" x14ac:dyDescent="0.25">
      <c r="A34" s="295" t="s">
        <v>88</v>
      </c>
      <c r="B34" s="296"/>
      <c r="C34" s="296"/>
      <c r="D34" s="296"/>
      <c r="E34" s="71">
        <f>E35+E89+E102+E264+E293+E307+E331+E373</f>
        <v>1713481.594000929</v>
      </c>
      <c r="F34" s="71">
        <f>F35+F89+F102+F264+F293+F307+F331+F373</f>
        <v>1580273.0506337513</v>
      </c>
      <c r="G34" s="71">
        <f>G35+G89+G102+G264+G293+G307+G331+G373</f>
        <v>1517660.73</v>
      </c>
      <c r="H34" s="71">
        <f>H35+H89+H102+H264+H293+H307+H331+H373</f>
        <v>1462900</v>
      </c>
      <c r="I34" s="71">
        <f>I35+I89+I102+I264+I293+I307+I331+I373</f>
        <v>1455037</v>
      </c>
    </row>
    <row r="35" spans="1:9" x14ac:dyDescent="0.25">
      <c r="A35" s="122" t="s">
        <v>89</v>
      </c>
      <c r="B35" s="122"/>
      <c r="C35" s="122"/>
      <c r="D35" s="122"/>
      <c r="E35" s="123">
        <f>E36+E83</f>
        <v>168178.65817240693</v>
      </c>
      <c r="F35" s="123">
        <f>F36+F83</f>
        <v>282878.33300152636</v>
      </c>
      <c r="G35" s="123">
        <f>G36+G83</f>
        <v>309816.83</v>
      </c>
      <c r="H35" s="123">
        <f>H36+H83</f>
        <v>499823</v>
      </c>
      <c r="I35" s="123">
        <f>I36+I83</f>
        <v>252731</v>
      </c>
    </row>
    <row r="36" spans="1:9" x14ac:dyDescent="0.25">
      <c r="A36" s="240" t="s">
        <v>90</v>
      </c>
      <c r="B36" s="241"/>
      <c r="C36" s="241"/>
      <c r="D36" s="242"/>
      <c r="E36" s="103">
        <f>E37+E47+E74+E52+E69</f>
        <v>162532.02999535471</v>
      </c>
      <c r="F36" s="103">
        <f>F37+F47+F74+F52+F69+F56+F60+F64</f>
        <v>281332.11228349595</v>
      </c>
      <c r="G36" s="103">
        <f>G37+G47+G74+G52+G69+G56+G78</f>
        <v>299982.07</v>
      </c>
      <c r="H36" s="103">
        <f t="shared" ref="H36:I36" si="13">H37+H47+H74+H52+H69+H56+H78</f>
        <v>489988</v>
      </c>
      <c r="I36" s="103">
        <f t="shared" si="13"/>
        <v>242896</v>
      </c>
    </row>
    <row r="37" spans="1:9" ht="28.5" customHeight="1" x14ac:dyDescent="0.25">
      <c r="A37" s="256" t="s">
        <v>92</v>
      </c>
      <c r="B37" s="257"/>
      <c r="C37" s="257"/>
      <c r="D37" s="257"/>
      <c r="E37" s="93">
        <f>E41+E44</f>
        <v>135282.84823146858</v>
      </c>
      <c r="F37" s="93">
        <f t="shared" ref="F37:H37" si="14">F41+F44</f>
        <v>207564.77536664676</v>
      </c>
      <c r="G37" s="93">
        <f t="shared" si="14"/>
        <v>198449.13</v>
      </c>
      <c r="H37" s="93">
        <f t="shared" si="14"/>
        <v>203018</v>
      </c>
      <c r="I37" s="93">
        <f>I41+I44</f>
        <v>200895</v>
      </c>
    </row>
    <row r="38" spans="1:9" s="143" customFormat="1" ht="15" customHeight="1" x14ac:dyDescent="0.2">
      <c r="A38" s="273" t="s">
        <v>91</v>
      </c>
      <c r="B38" s="274"/>
      <c r="C38" s="274"/>
      <c r="D38" s="274"/>
      <c r="E38" s="65">
        <f>530.41/7.5345</f>
        <v>70.397504811201799</v>
      </c>
      <c r="F38" s="65">
        <f>1100/7.5345</f>
        <v>145.99508925608865</v>
      </c>
      <c r="G38" s="142"/>
      <c r="H38" s="142"/>
      <c r="I38" s="142"/>
    </row>
    <row r="39" spans="1:9" s="143" customFormat="1" ht="15" customHeight="1" x14ac:dyDescent="0.2">
      <c r="A39" s="273" t="s">
        <v>86</v>
      </c>
      <c r="B39" s="274"/>
      <c r="C39" s="274"/>
      <c r="D39" s="274"/>
      <c r="E39" s="65">
        <f>72677.56/7.5345</f>
        <v>9645.9698719224889</v>
      </c>
      <c r="F39" s="144"/>
      <c r="G39" s="142"/>
      <c r="H39" s="142"/>
      <c r="I39" s="142"/>
    </row>
    <row r="40" spans="1:9" s="143" customFormat="1" ht="15" customHeight="1" x14ac:dyDescent="0.2">
      <c r="A40" s="273" t="s">
        <v>84</v>
      </c>
      <c r="B40" s="274"/>
      <c r="C40" s="274"/>
      <c r="D40" s="274"/>
      <c r="E40" s="65">
        <f>946080.65/7.5345</f>
        <v>125566.48085473488</v>
      </c>
      <c r="F40" s="65">
        <f>1562796.8/7.5345</f>
        <v>207418.78027739067</v>
      </c>
      <c r="G40" s="142">
        <v>198449.13</v>
      </c>
      <c r="H40" s="142">
        <v>203018</v>
      </c>
      <c r="I40" s="142">
        <v>200895</v>
      </c>
    </row>
    <row r="41" spans="1:9" x14ac:dyDescent="0.25">
      <c r="A41" s="219">
        <v>3</v>
      </c>
      <c r="B41" s="220"/>
      <c r="C41" s="221"/>
      <c r="D41" s="25" t="s">
        <v>26</v>
      </c>
      <c r="E41" s="64">
        <f>E42+E43</f>
        <v>130106.65870329816</v>
      </c>
      <c r="F41" s="64">
        <f t="shared" ref="F41:I41" si="15">F42+F43</f>
        <v>195619.72260933041</v>
      </c>
      <c r="G41" s="64">
        <f t="shared" si="15"/>
        <v>191812.99</v>
      </c>
      <c r="H41" s="64">
        <f t="shared" si="15"/>
        <v>201368</v>
      </c>
      <c r="I41" s="64">
        <f t="shared" si="15"/>
        <v>182895</v>
      </c>
    </row>
    <row r="42" spans="1:9" x14ac:dyDescent="0.25">
      <c r="A42" s="216">
        <v>31</v>
      </c>
      <c r="B42" s="217"/>
      <c r="C42" s="218"/>
      <c r="D42" s="25" t="s">
        <v>29</v>
      </c>
      <c r="E42" s="64">
        <f>539909.55/7.5345</f>
        <v>71658.311765876962</v>
      </c>
      <c r="F42" s="64">
        <f>755480/7.5345</f>
        <v>100269.42730108168</v>
      </c>
      <c r="G42" s="64">
        <v>84716.97</v>
      </c>
      <c r="H42" s="64">
        <v>85000</v>
      </c>
      <c r="I42" s="64">
        <v>85000</v>
      </c>
    </row>
    <row r="43" spans="1:9" x14ac:dyDescent="0.25">
      <c r="A43" s="253">
        <v>32</v>
      </c>
      <c r="B43" s="254"/>
      <c r="C43" s="255"/>
      <c r="D43" s="25" t="s">
        <v>43</v>
      </c>
      <c r="E43" s="64">
        <f>440379.07/7.5345</f>
        <v>58448.346937421193</v>
      </c>
      <c r="F43" s="64">
        <f>718416.8/7.5345</f>
        <v>95350.295308248722</v>
      </c>
      <c r="G43" s="64">
        <v>107096.02</v>
      </c>
      <c r="H43" s="64">
        <v>116368</v>
      </c>
      <c r="I43" s="64">
        <v>97895</v>
      </c>
    </row>
    <row r="44" spans="1:9" ht="25.5" x14ac:dyDescent="0.25">
      <c r="A44" s="219">
        <v>4</v>
      </c>
      <c r="B44" s="220"/>
      <c r="C44" s="221"/>
      <c r="D44" s="25" t="s">
        <v>5</v>
      </c>
      <c r="E44" s="64">
        <f>E46+E45</f>
        <v>5176.1895281704155</v>
      </c>
      <c r="F44" s="64">
        <f t="shared" ref="F44:I44" si="16">F46+F45</f>
        <v>11945.052757316344</v>
      </c>
      <c r="G44" s="64">
        <f t="shared" si="16"/>
        <v>6636.14</v>
      </c>
      <c r="H44" s="64">
        <f t="shared" si="16"/>
        <v>1650</v>
      </c>
      <c r="I44" s="64">
        <f t="shared" si="16"/>
        <v>18000</v>
      </c>
    </row>
    <row r="45" spans="1:9" ht="25.5" x14ac:dyDescent="0.25">
      <c r="A45" s="216">
        <v>41</v>
      </c>
      <c r="B45" s="217"/>
      <c r="C45" s="218"/>
      <c r="D45" s="25" t="s">
        <v>187</v>
      </c>
      <c r="E45" s="64"/>
      <c r="F45" s="64">
        <f>90000/7.5345</f>
        <v>11945.052757316344</v>
      </c>
      <c r="G45" s="64">
        <v>6636.14</v>
      </c>
      <c r="H45" s="64"/>
      <c r="I45" s="64">
        <v>18000</v>
      </c>
    </row>
    <row r="46" spans="1:9" ht="25.5" x14ac:dyDescent="0.25">
      <c r="A46" s="216">
        <v>42</v>
      </c>
      <c r="B46" s="217"/>
      <c r="C46" s="218"/>
      <c r="D46" s="25" t="s">
        <v>153</v>
      </c>
      <c r="E46" s="64">
        <f>39000/7.5345</f>
        <v>5176.1895281704155</v>
      </c>
      <c r="F46" s="64"/>
      <c r="G46" s="64"/>
      <c r="H46" s="64">
        <v>1650</v>
      </c>
      <c r="I46" s="64"/>
    </row>
    <row r="47" spans="1:9" x14ac:dyDescent="0.25">
      <c r="A47" s="287" t="s">
        <v>93</v>
      </c>
      <c r="B47" s="288"/>
      <c r="C47" s="288"/>
      <c r="D47" s="297"/>
      <c r="E47" s="93">
        <f>E49</f>
        <v>3553.0519609794937</v>
      </c>
      <c r="F47" s="93">
        <f t="shared" ref="F47:I47" si="17">F49</f>
        <v>2893.3572234388475</v>
      </c>
      <c r="G47" s="93">
        <f t="shared" si="17"/>
        <v>3848.96</v>
      </c>
      <c r="H47" s="93">
        <f t="shared" si="17"/>
        <v>3850</v>
      </c>
      <c r="I47" s="93">
        <f t="shared" si="17"/>
        <v>3850</v>
      </c>
    </row>
    <row r="48" spans="1:9" x14ac:dyDescent="0.25">
      <c r="A48" s="278" t="s">
        <v>85</v>
      </c>
      <c r="B48" s="279"/>
      <c r="C48" s="279"/>
      <c r="D48" s="279"/>
      <c r="E48" s="74">
        <f>E49</f>
        <v>3553.0519609794937</v>
      </c>
      <c r="F48" s="74">
        <f t="shared" ref="F48:I48" si="18">F49</f>
        <v>2893.3572234388475</v>
      </c>
      <c r="G48" s="74">
        <f t="shared" si="18"/>
        <v>3848.96</v>
      </c>
      <c r="H48" s="74">
        <f t="shared" si="18"/>
        <v>3850</v>
      </c>
      <c r="I48" s="74">
        <f t="shared" si="18"/>
        <v>3850</v>
      </c>
    </row>
    <row r="49" spans="1:9" x14ac:dyDescent="0.25">
      <c r="A49" s="219">
        <v>3</v>
      </c>
      <c r="B49" s="220"/>
      <c r="C49" s="221"/>
      <c r="D49" s="25" t="s">
        <v>26</v>
      </c>
      <c r="E49" s="64">
        <f>E50+E51</f>
        <v>3553.0519609794937</v>
      </c>
      <c r="F49" s="64">
        <f t="shared" ref="F49:H49" si="19">F50+F51</f>
        <v>2893.3572234388475</v>
      </c>
      <c r="G49" s="64">
        <f t="shared" si="19"/>
        <v>3848.96</v>
      </c>
      <c r="H49" s="64">
        <f t="shared" si="19"/>
        <v>3850</v>
      </c>
      <c r="I49" s="64">
        <f>I50+I51</f>
        <v>3850</v>
      </c>
    </row>
    <row r="50" spans="1:9" x14ac:dyDescent="0.25">
      <c r="A50" s="253">
        <v>32</v>
      </c>
      <c r="B50" s="254"/>
      <c r="C50" s="255"/>
      <c r="D50" s="49" t="s">
        <v>43</v>
      </c>
      <c r="E50" s="64">
        <f>4464.7/7.5345</f>
        <v>592.56752272878089</v>
      </c>
      <c r="F50" s="64">
        <f>6000/7.5345</f>
        <v>796.33685048775624</v>
      </c>
      <c r="G50" s="64">
        <v>1327.23</v>
      </c>
      <c r="H50" s="64">
        <v>1250</v>
      </c>
      <c r="I50" s="64">
        <v>1250</v>
      </c>
    </row>
    <row r="51" spans="1:9" x14ac:dyDescent="0.25">
      <c r="A51" s="253">
        <v>34</v>
      </c>
      <c r="B51" s="254"/>
      <c r="C51" s="255"/>
      <c r="D51" s="49" t="s">
        <v>157</v>
      </c>
      <c r="E51" s="64">
        <f>22305.77/7.5345</f>
        <v>2960.4844382507131</v>
      </c>
      <c r="F51" s="64">
        <f>15800/7.5345</f>
        <v>2097.0203729510913</v>
      </c>
      <c r="G51" s="64">
        <v>2521.73</v>
      </c>
      <c r="H51" s="64">
        <v>2600</v>
      </c>
      <c r="I51" s="64">
        <v>2600</v>
      </c>
    </row>
    <row r="52" spans="1:9" x14ac:dyDescent="0.25">
      <c r="A52" s="275" t="s">
        <v>188</v>
      </c>
      <c r="B52" s="276"/>
      <c r="C52" s="276"/>
      <c r="D52" s="277"/>
      <c r="E52" s="83">
        <f>E53</f>
        <v>9042.7447076780136</v>
      </c>
      <c r="F52" s="83">
        <f t="shared" ref="F52" si="20">F53</f>
        <v>15926.737009755125</v>
      </c>
      <c r="G52" s="83">
        <f>G54</f>
        <v>26544.560000000001</v>
      </c>
      <c r="H52" s="83">
        <f t="shared" ref="H52:I52" si="21">H54</f>
        <v>20000</v>
      </c>
      <c r="I52" s="83">
        <f t="shared" si="21"/>
        <v>15000</v>
      </c>
    </row>
    <row r="53" spans="1:9" x14ac:dyDescent="0.25">
      <c r="A53" s="278" t="s">
        <v>85</v>
      </c>
      <c r="B53" s="279"/>
      <c r="C53" s="279"/>
      <c r="D53" s="279"/>
      <c r="E53" s="65">
        <f>E54</f>
        <v>9042.7447076780136</v>
      </c>
      <c r="F53" s="74">
        <f>F54</f>
        <v>15926.737009755125</v>
      </c>
      <c r="G53" s="74">
        <v>26544.560000000001</v>
      </c>
      <c r="H53" s="74">
        <v>20000</v>
      </c>
      <c r="I53" s="74">
        <v>15000</v>
      </c>
    </row>
    <row r="54" spans="1:9" x14ac:dyDescent="0.25">
      <c r="A54" s="219">
        <v>3</v>
      </c>
      <c r="B54" s="220"/>
      <c r="C54" s="221"/>
      <c r="D54" s="25" t="s">
        <v>26</v>
      </c>
      <c r="E54" s="64">
        <f>E55</f>
        <v>9042.7447076780136</v>
      </c>
      <c r="F54" s="64">
        <f t="shared" ref="F54:I54" si="22">F55</f>
        <v>15926.737009755125</v>
      </c>
      <c r="G54" s="64">
        <f t="shared" si="22"/>
        <v>26544.560000000001</v>
      </c>
      <c r="H54" s="64">
        <f t="shared" si="22"/>
        <v>20000</v>
      </c>
      <c r="I54" s="64">
        <f t="shared" si="22"/>
        <v>15000</v>
      </c>
    </row>
    <row r="55" spans="1:9" ht="25.5" x14ac:dyDescent="0.25">
      <c r="A55" s="253">
        <v>36</v>
      </c>
      <c r="B55" s="254"/>
      <c r="C55" s="255"/>
      <c r="D55" s="49" t="s">
        <v>62</v>
      </c>
      <c r="E55" s="64">
        <f>68132.56/7.5345</f>
        <v>9042.7447076780136</v>
      </c>
      <c r="F55" s="64">
        <f>120000/7.5345</f>
        <v>15926.737009755125</v>
      </c>
      <c r="G55" s="64">
        <v>26544.560000000001</v>
      </c>
      <c r="H55" s="64">
        <v>20000</v>
      </c>
      <c r="I55" s="64">
        <v>15000</v>
      </c>
    </row>
    <row r="56" spans="1:9" x14ac:dyDescent="0.25">
      <c r="A56" s="275" t="s">
        <v>189</v>
      </c>
      <c r="B56" s="276"/>
      <c r="C56" s="276"/>
      <c r="D56" s="277"/>
      <c r="E56" s="80"/>
      <c r="F56" s="85">
        <f>F58</f>
        <v>796.33685048775624</v>
      </c>
      <c r="G56" s="152">
        <f>G58</f>
        <v>796.34</v>
      </c>
      <c r="H56" s="152">
        <f t="shared" ref="H56:I56" si="23">H58</f>
        <v>0</v>
      </c>
      <c r="I56" s="152">
        <f t="shared" si="23"/>
        <v>0</v>
      </c>
    </row>
    <row r="57" spans="1:9" x14ac:dyDescent="0.25">
      <c r="A57" s="278" t="s">
        <v>85</v>
      </c>
      <c r="B57" s="279"/>
      <c r="C57" s="279"/>
      <c r="D57" s="279"/>
      <c r="E57" s="74"/>
      <c r="F57" s="74">
        <f>F58</f>
        <v>796.33685048775624</v>
      </c>
      <c r="G57" s="74">
        <v>796.34</v>
      </c>
      <c r="H57" s="74"/>
      <c r="I57" s="74"/>
    </row>
    <row r="58" spans="1:9" x14ac:dyDescent="0.25">
      <c r="A58" s="219">
        <v>3</v>
      </c>
      <c r="B58" s="220"/>
      <c r="C58" s="221"/>
      <c r="D58" s="25" t="s">
        <v>26</v>
      </c>
      <c r="E58" s="64"/>
      <c r="F58" s="64">
        <f>F59</f>
        <v>796.33685048775624</v>
      </c>
      <c r="G58" s="64">
        <f>G59</f>
        <v>796.34</v>
      </c>
      <c r="H58" s="64"/>
      <c r="I58" s="64"/>
    </row>
    <row r="59" spans="1:9" ht="25.5" x14ac:dyDescent="0.25">
      <c r="A59" s="253">
        <v>36</v>
      </c>
      <c r="B59" s="254"/>
      <c r="C59" s="255"/>
      <c r="D59" s="49" t="s">
        <v>62</v>
      </c>
      <c r="E59" s="64"/>
      <c r="F59" s="64">
        <f>6000/7.5345</f>
        <v>796.33685048775624</v>
      </c>
      <c r="G59" s="64">
        <v>796.34</v>
      </c>
      <c r="H59" s="64"/>
      <c r="I59" s="64"/>
    </row>
    <row r="60" spans="1:9" x14ac:dyDescent="0.25">
      <c r="A60" s="275" t="s">
        <v>208</v>
      </c>
      <c r="B60" s="276"/>
      <c r="C60" s="276"/>
      <c r="D60" s="277"/>
      <c r="E60" s="80"/>
      <c r="F60" s="85">
        <f>F62</f>
        <v>663.61404207313024</v>
      </c>
      <c r="G60" s="80"/>
      <c r="H60" s="80"/>
      <c r="I60" s="80"/>
    </row>
    <row r="61" spans="1:9" x14ac:dyDescent="0.25">
      <c r="A61" s="278" t="s">
        <v>85</v>
      </c>
      <c r="B61" s="279"/>
      <c r="C61" s="279"/>
      <c r="D61" s="279"/>
      <c r="E61" s="74"/>
      <c r="F61" s="74">
        <f>F62</f>
        <v>663.61404207313024</v>
      </c>
      <c r="G61" s="74"/>
      <c r="H61" s="74"/>
      <c r="I61" s="74"/>
    </row>
    <row r="62" spans="1:9" x14ac:dyDescent="0.25">
      <c r="A62" s="219">
        <v>3</v>
      </c>
      <c r="B62" s="220"/>
      <c r="C62" s="221"/>
      <c r="D62" s="25" t="s">
        <v>26</v>
      </c>
      <c r="E62" s="64"/>
      <c r="F62" s="64">
        <f>F63</f>
        <v>663.61404207313024</v>
      </c>
      <c r="G62" s="64"/>
      <c r="H62" s="64"/>
      <c r="I62" s="64"/>
    </row>
    <row r="63" spans="1:9" ht="25.5" x14ac:dyDescent="0.25">
      <c r="A63" s="253">
        <v>36</v>
      </c>
      <c r="B63" s="254"/>
      <c r="C63" s="255"/>
      <c r="D63" s="49" t="s">
        <v>62</v>
      </c>
      <c r="E63" s="64"/>
      <c r="F63" s="64">
        <f>5000/7.5345</f>
        <v>663.61404207313024</v>
      </c>
      <c r="G63" s="64"/>
      <c r="H63" s="64"/>
      <c r="I63" s="64"/>
    </row>
    <row r="64" spans="1:9" x14ac:dyDescent="0.25">
      <c r="A64" s="275" t="s">
        <v>190</v>
      </c>
      <c r="B64" s="276"/>
      <c r="C64" s="276"/>
      <c r="D64" s="277"/>
      <c r="E64" s="80"/>
      <c r="F64" s="85">
        <f>F67</f>
        <v>9290.596589023824</v>
      </c>
      <c r="G64" s="80"/>
      <c r="H64" s="80"/>
      <c r="I64" s="80"/>
    </row>
    <row r="65" spans="1:9" x14ac:dyDescent="0.25">
      <c r="A65" s="273" t="s">
        <v>86</v>
      </c>
      <c r="B65" s="274"/>
      <c r="C65" s="274"/>
      <c r="D65" s="274"/>
      <c r="E65" s="74"/>
      <c r="F65" s="74">
        <f>35000/7.5345</f>
        <v>4645.298294511912</v>
      </c>
      <c r="G65" s="74"/>
      <c r="H65" s="74"/>
      <c r="I65" s="74"/>
    </row>
    <row r="66" spans="1:9" x14ac:dyDescent="0.25">
      <c r="A66" s="273" t="s">
        <v>84</v>
      </c>
      <c r="B66" s="274"/>
      <c r="C66" s="274"/>
      <c r="D66" s="274"/>
      <c r="E66" s="74"/>
      <c r="F66" s="74">
        <f>35000/7.5345</f>
        <v>4645.298294511912</v>
      </c>
      <c r="G66" s="74"/>
      <c r="H66" s="74"/>
      <c r="I66" s="74"/>
    </row>
    <row r="67" spans="1:9" x14ac:dyDescent="0.25">
      <c r="A67" s="219">
        <v>3</v>
      </c>
      <c r="B67" s="220"/>
      <c r="C67" s="221"/>
      <c r="D67" s="25" t="s">
        <v>26</v>
      </c>
      <c r="E67" s="64"/>
      <c r="F67" s="64">
        <f>F68</f>
        <v>9290.596589023824</v>
      </c>
      <c r="G67" s="64"/>
      <c r="H67" s="64"/>
      <c r="I67" s="64"/>
    </row>
    <row r="68" spans="1:9" ht="25.5" x14ac:dyDescent="0.25">
      <c r="A68" s="253">
        <v>36</v>
      </c>
      <c r="B68" s="254"/>
      <c r="C68" s="255"/>
      <c r="D68" s="49" t="s">
        <v>62</v>
      </c>
      <c r="E68" s="64"/>
      <c r="F68" s="64">
        <f>70000/7.5345</f>
        <v>9290.596589023824</v>
      </c>
      <c r="G68" s="64"/>
      <c r="H68" s="64"/>
      <c r="I68" s="64"/>
    </row>
    <row r="69" spans="1:9" s="148" customFormat="1" ht="12.75" x14ac:dyDescent="0.2">
      <c r="A69" s="95" t="s">
        <v>94</v>
      </c>
      <c r="B69" s="147"/>
      <c r="C69" s="147"/>
      <c r="D69" s="147"/>
      <c r="E69" s="146">
        <f>E72</f>
        <v>13769.991373017452</v>
      </c>
      <c r="F69" s="146">
        <f t="shared" ref="F69:I69" si="24">F72</f>
        <v>23890.105514632687</v>
      </c>
      <c r="G69" s="146">
        <f t="shared" si="24"/>
        <v>39816.839999999997</v>
      </c>
      <c r="H69" s="146">
        <f t="shared" si="24"/>
        <v>34310</v>
      </c>
      <c r="I69" s="146">
        <f t="shared" si="24"/>
        <v>5000</v>
      </c>
    </row>
    <row r="70" spans="1:9" x14ac:dyDescent="0.25">
      <c r="A70" s="273" t="s">
        <v>86</v>
      </c>
      <c r="B70" s="274"/>
      <c r="C70" s="274"/>
      <c r="D70" s="274"/>
      <c r="E70" s="74">
        <f>100000/7.5345</f>
        <v>13272.280841462605</v>
      </c>
      <c r="F70" s="74"/>
      <c r="G70" s="74">
        <f>6636.14-1.81+546</f>
        <v>7180.33</v>
      </c>
      <c r="H70" s="74">
        <v>27000</v>
      </c>
      <c r="I70" s="74">
        <v>5000</v>
      </c>
    </row>
    <row r="71" spans="1:9" x14ac:dyDescent="0.25">
      <c r="A71" s="273" t="s">
        <v>84</v>
      </c>
      <c r="B71" s="274"/>
      <c r="C71" s="274"/>
      <c r="D71" s="274"/>
      <c r="E71" s="74">
        <f>3750/7.5345</f>
        <v>497.71053155484765</v>
      </c>
      <c r="F71" s="74">
        <f>F69</f>
        <v>23890.105514632687</v>
      </c>
      <c r="G71" s="74">
        <f>G69-G70</f>
        <v>32636.509999999995</v>
      </c>
      <c r="H71" s="74">
        <f>H69-H70</f>
        <v>7310</v>
      </c>
      <c r="I71" s="74"/>
    </row>
    <row r="72" spans="1:9" ht="25.5" x14ac:dyDescent="0.25">
      <c r="A72" s="219">
        <v>4</v>
      </c>
      <c r="B72" s="220"/>
      <c r="C72" s="221"/>
      <c r="D72" s="25" t="s">
        <v>5</v>
      </c>
      <c r="E72" s="64">
        <f>E73</f>
        <v>13769.991373017452</v>
      </c>
      <c r="F72" s="64">
        <f t="shared" ref="F72:I72" si="25">F73</f>
        <v>23890.105514632687</v>
      </c>
      <c r="G72" s="64">
        <f t="shared" si="25"/>
        <v>39816.839999999997</v>
      </c>
      <c r="H72" s="64">
        <f t="shared" si="25"/>
        <v>34310</v>
      </c>
      <c r="I72" s="64">
        <f t="shared" si="25"/>
        <v>5000</v>
      </c>
    </row>
    <row r="73" spans="1:9" ht="25.5" x14ac:dyDescent="0.25">
      <c r="A73" s="216">
        <v>42</v>
      </c>
      <c r="B73" s="217"/>
      <c r="C73" s="218"/>
      <c r="D73" s="25" t="s">
        <v>153</v>
      </c>
      <c r="E73" s="64">
        <f>103750/7.5345</f>
        <v>13769.991373017452</v>
      </c>
      <c r="F73" s="64">
        <f>180000/7.5345</f>
        <v>23890.105514632687</v>
      </c>
      <c r="G73" s="64">
        <v>39816.839999999997</v>
      </c>
      <c r="H73" s="64">
        <v>34310</v>
      </c>
      <c r="I73" s="64">
        <v>5000</v>
      </c>
    </row>
    <row r="74" spans="1:9" x14ac:dyDescent="0.25">
      <c r="A74" s="248" t="s">
        <v>95</v>
      </c>
      <c r="B74" s="249"/>
      <c r="C74" s="249"/>
      <c r="D74" s="250"/>
      <c r="E74" s="93">
        <f>E75</f>
        <v>883.39372221116196</v>
      </c>
      <c r="F74" s="93">
        <f t="shared" ref="F74" si="26">F75</f>
        <v>20306.589687437787</v>
      </c>
      <c r="G74" s="93">
        <f>G76</f>
        <v>10617.82</v>
      </c>
      <c r="H74" s="93">
        <f t="shared" ref="H74:I74" si="27">H76</f>
        <v>3810</v>
      </c>
      <c r="I74" s="93">
        <f t="shared" si="27"/>
        <v>8151</v>
      </c>
    </row>
    <row r="75" spans="1:9" x14ac:dyDescent="0.25">
      <c r="A75" s="273" t="s">
        <v>84</v>
      </c>
      <c r="B75" s="274"/>
      <c r="C75" s="274"/>
      <c r="D75" s="274"/>
      <c r="E75" s="74">
        <f>E76</f>
        <v>883.39372221116196</v>
      </c>
      <c r="F75" s="74">
        <f>F76</f>
        <v>20306.589687437787</v>
      </c>
      <c r="G75" s="74">
        <v>10617.82</v>
      </c>
      <c r="H75" s="74">
        <v>3810</v>
      </c>
      <c r="I75" s="74">
        <v>8151</v>
      </c>
    </row>
    <row r="76" spans="1:9" ht="25.5" x14ac:dyDescent="0.25">
      <c r="A76" s="219">
        <v>4</v>
      </c>
      <c r="B76" s="220"/>
      <c r="C76" s="221"/>
      <c r="D76" s="25" t="s">
        <v>5</v>
      </c>
      <c r="E76" s="64">
        <f>E77</f>
        <v>883.39372221116196</v>
      </c>
      <c r="F76" s="64">
        <f t="shared" ref="F76:I76" si="28">F77</f>
        <v>20306.589687437787</v>
      </c>
      <c r="G76" s="64">
        <f t="shared" si="28"/>
        <v>10617.82</v>
      </c>
      <c r="H76" s="64">
        <f t="shared" si="28"/>
        <v>3810</v>
      </c>
      <c r="I76" s="64">
        <f t="shared" si="28"/>
        <v>8151</v>
      </c>
    </row>
    <row r="77" spans="1:9" ht="25.5" x14ac:dyDescent="0.25">
      <c r="A77" s="216">
        <v>42</v>
      </c>
      <c r="B77" s="217"/>
      <c r="C77" s="218"/>
      <c r="D77" s="25" t="s">
        <v>153</v>
      </c>
      <c r="E77" s="64">
        <f>6655.93/7.5345</f>
        <v>883.39372221116196</v>
      </c>
      <c r="F77" s="64">
        <f>153000/7.5345</f>
        <v>20306.589687437787</v>
      </c>
      <c r="G77" s="64">
        <v>10617.82</v>
      </c>
      <c r="H77" s="64">
        <v>3810</v>
      </c>
      <c r="I77" s="64">
        <v>8151</v>
      </c>
    </row>
    <row r="78" spans="1:9" ht="29.25" customHeight="1" x14ac:dyDescent="0.25">
      <c r="A78" s="292" t="s">
        <v>204</v>
      </c>
      <c r="B78" s="293"/>
      <c r="C78" s="293"/>
      <c r="D78" s="294"/>
      <c r="E78" s="81"/>
      <c r="F78" s="81"/>
      <c r="G78" s="97">
        <f>G81</f>
        <v>19908.419999999998</v>
      </c>
      <c r="H78" s="97">
        <f t="shared" ref="H78:I78" si="29">H81</f>
        <v>225000</v>
      </c>
      <c r="I78" s="97">
        <f t="shared" si="29"/>
        <v>10000</v>
      </c>
    </row>
    <row r="79" spans="1:9" ht="15" customHeight="1" x14ac:dyDescent="0.25">
      <c r="A79" s="273" t="s">
        <v>84</v>
      </c>
      <c r="B79" s="274"/>
      <c r="C79" s="274"/>
      <c r="D79" s="274"/>
      <c r="E79" s="169"/>
      <c r="F79" s="169"/>
      <c r="G79" s="66">
        <v>19908.419999999998</v>
      </c>
      <c r="H79" s="66">
        <f>H78-H80</f>
        <v>98455.44</v>
      </c>
      <c r="I79" s="66"/>
    </row>
    <row r="80" spans="1:9" ht="15" customHeight="1" x14ac:dyDescent="0.25">
      <c r="A80" s="273" t="s">
        <v>86</v>
      </c>
      <c r="B80" s="274"/>
      <c r="C80" s="274"/>
      <c r="D80" s="274"/>
      <c r="E80" s="169"/>
      <c r="F80" s="169"/>
      <c r="G80" s="66"/>
      <c r="H80" s="66">
        <v>126544.56</v>
      </c>
      <c r="I80" s="66">
        <v>10000</v>
      </c>
    </row>
    <row r="81" spans="1:9" x14ac:dyDescent="0.25">
      <c r="A81" s="219">
        <v>3</v>
      </c>
      <c r="B81" s="220"/>
      <c r="C81" s="221"/>
      <c r="D81" s="25" t="s">
        <v>26</v>
      </c>
      <c r="E81" s="156"/>
      <c r="F81" s="156"/>
      <c r="G81" s="166">
        <f>G82</f>
        <v>19908.419999999998</v>
      </c>
      <c r="H81" s="166">
        <f>H82</f>
        <v>225000</v>
      </c>
      <c r="I81" s="166">
        <f>I82</f>
        <v>10000</v>
      </c>
    </row>
    <row r="82" spans="1:9" x14ac:dyDescent="0.25">
      <c r="A82" s="216">
        <v>32</v>
      </c>
      <c r="B82" s="217"/>
      <c r="C82" s="218"/>
      <c r="D82" s="25" t="s">
        <v>43</v>
      </c>
      <c r="E82" s="156"/>
      <c r="F82" s="156"/>
      <c r="G82" s="166">
        <v>19908.419999999998</v>
      </c>
      <c r="H82" s="166">
        <f>252000-27000</f>
        <v>225000</v>
      </c>
      <c r="I82" s="166">
        <v>10000</v>
      </c>
    </row>
    <row r="83" spans="1:9" x14ac:dyDescent="0.25">
      <c r="A83" s="240" t="s">
        <v>96</v>
      </c>
      <c r="B83" s="241"/>
      <c r="C83" s="241"/>
      <c r="D83" s="242"/>
      <c r="E83" s="104">
        <f>E84</f>
        <v>5646.6281770522255</v>
      </c>
      <c r="F83" s="104">
        <f t="shared" ref="F83:I83" si="30">F84</f>
        <v>1546.2207180303935</v>
      </c>
      <c r="G83" s="104">
        <f t="shared" si="30"/>
        <v>9834.76</v>
      </c>
      <c r="H83" s="104">
        <f t="shared" si="30"/>
        <v>9835</v>
      </c>
      <c r="I83" s="104">
        <f t="shared" si="30"/>
        <v>9835</v>
      </c>
    </row>
    <row r="84" spans="1:9" s="145" customFormat="1" x14ac:dyDescent="0.25">
      <c r="A84" s="248" t="s">
        <v>98</v>
      </c>
      <c r="B84" s="249"/>
      <c r="C84" s="249"/>
      <c r="D84" s="250"/>
      <c r="E84" s="78">
        <f>E88</f>
        <v>5646.6281770522255</v>
      </c>
      <c r="F84" s="78">
        <f t="shared" ref="F84:I84" si="31">F88</f>
        <v>1546.2207180303935</v>
      </c>
      <c r="G84" s="78">
        <f t="shared" si="31"/>
        <v>9834.76</v>
      </c>
      <c r="H84" s="78">
        <f t="shared" si="31"/>
        <v>9835</v>
      </c>
      <c r="I84" s="78">
        <f t="shared" si="31"/>
        <v>9835</v>
      </c>
    </row>
    <row r="85" spans="1:9" x14ac:dyDescent="0.25">
      <c r="A85" s="273" t="s">
        <v>86</v>
      </c>
      <c r="B85" s="274"/>
      <c r="C85" s="274"/>
      <c r="D85" s="274"/>
      <c r="E85" s="74">
        <f>29889.68/7.5345</f>
        <v>3967.0422722144799</v>
      </c>
      <c r="F85" s="74">
        <f>F87</f>
        <v>1546.2207180303935</v>
      </c>
      <c r="G85" s="74">
        <v>9834.76</v>
      </c>
      <c r="H85" s="74">
        <v>9835</v>
      </c>
      <c r="I85" s="74">
        <v>9835</v>
      </c>
    </row>
    <row r="86" spans="1:9" x14ac:dyDescent="0.25">
      <c r="A86" s="273" t="s">
        <v>84</v>
      </c>
      <c r="B86" s="274"/>
      <c r="C86" s="274"/>
      <c r="D86" s="274"/>
      <c r="E86" s="74">
        <f>12654.84/7.5345</f>
        <v>1679.5859048377463</v>
      </c>
      <c r="F86" s="74"/>
      <c r="G86" s="74"/>
      <c r="H86" s="74"/>
      <c r="I86" s="74"/>
    </row>
    <row r="87" spans="1:9" x14ac:dyDescent="0.25">
      <c r="A87" s="219">
        <v>3</v>
      </c>
      <c r="B87" s="220"/>
      <c r="C87" s="221"/>
      <c r="D87" s="25" t="s">
        <v>26</v>
      </c>
      <c r="E87" s="64">
        <f>E88</f>
        <v>5646.6281770522255</v>
      </c>
      <c r="F87" s="64">
        <f t="shared" ref="F87:I87" si="32">F88</f>
        <v>1546.2207180303935</v>
      </c>
      <c r="G87" s="64">
        <f t="shared" si="32"/>
        <v>9834.76</v>
      </c>
      <c r="H87" s="64">
        <f t="shared" si="32"/>
        <v>9835</v>
      </c>
      <c r="I87" s="64">
        <f t="shared" si="32"/>
        <v>9835</v>
      </c>
    </row>
    <row r="88" spans="1:9" x14ac:dyDescent="0.25">
      <c r="A88" s="216">
        <v>31</v>
      </c>
      <c r="B88" s="217"/>
      <c r="C88" s="218"/>
      <c r="D88" s="25" t="s">
        <v>29</v>
      </c>
      <c r="E88" s="64">
        <f>42544.52/7.5345</f>
        <v>5646.6281770522255</v>
      </c>
      <c r="F88" s="64">
        <f>11650/7.5345</f>
        <v>1546.2207180303935</v>
      </c>
      <c r="G88" s="64">
        <v>9834.76</v>
      </c>
      <c r="H88" s="64">
        <v>9835</v>
      </c>
      <c r="I88" s="64">
        <v>9835</v>
      </c>
    </row>
    <row r="89" spans="1:9" x14ac:dyDescent="0.25">
      <c r="A89" s="122" t="s">
        <v>99</v>
      </c>
      <c r="B89" s="122"/>
      <c r="C89" s="122"/>
      <c r="D89" s="122"/>
      <c r="E89" s="123">
        <f>E90+E97</f>
        <v>18591.112880748555</v>
      </c>
      <c r="F89" s="123">
        <f t="shared" ref="F89:I89" si="33">F90+F97</f>
        <v>27739.066958656844</v>
      </c>
      <c r="G89" s="123">
        <f t="shared" si="33"/>
        <v>27739.06</v>
      </c>
      <c r="H89" s="123">
        <f t="shared" si="33"/>
        <v>27300</v>
      </c>
      <c r="I89" s="123">
        <f t="shared" si="33"/>
        <v>27300</v>
      </c>
    </row>
    <row r="90" spans="1:9" x14ac:dyDescent="0.25">
      <c r="A90" s="101" t="s">
        <v>100</v>
      </c>
      <c r="B90" s="101"/>
      <c r="C90" s="101"/>
      <c r="D90" s="101"/>
      <c r="E90" s="104">
        <f>E91</f>
        <v>15042.104983741456</v>
      </c>
      <c r="F90" s="104">
        <f t="shared" ref="F90:I90" si="34">F91</f>
        <v>22430.154622071801</v>
      </c>
      <c r="G90" s="104">
        <f t="shared" si="34"/>
        <v>22430.15</v>
      </c>
      <c r="H90" s="104">
        <f t="shared" si="34"/>
        <v>22000</v>
      </c>
      <c r="I90" s="104">
        <f t="shared" si="34"/>
        <v>22000</v>
      </c>
    </row>
    <row r="91" spans="1:9" x14ac:dyDescent="0.25">
      <c r="A91" s="243" t="s">
        <v>158</v>
      </c>
      <c r="B91" s="244"/>
      <c r="C91" s="244"/>
      <c r="D91" s="245"/>
      <c r="E91" s="264">
        <f>E93</f>
        <v>15042.104983741456</v>
      </c>
      <c r="F91" s="264">
        <f t="shared" ref="F91:I91" si="35">F93</f>
        <v>22430.154622071801</v>
      </c>
      <c r="G91" s="264">
        <f t="shared" si="35"/>
        <v>22430.15</v>
      </c>
      <c r="H91" s="264">
        <f t="shared" si="35"/>
        <v>22000</v>
      </c>
      <c r="I91" s="264">
        <f t="shared" si="35"/>
        <v>22000</v>
      </c>
    </row>
    <row r="92" spans="1:9" x14ac:dyDescent="0.25">
      <c r="A92" s="86" t="s">
        <v>101</v>
      </c>
      <c r="B92" s="94"/>
      <c r="C92" s="94"/>
      <c r="D92" s="94"/>
      <c r="E92" s="265"/>
      <c r="F92" s="265"/>
      <c r="G92" s="265"/>
      <c r="H92" s="265"/>
      <c r="I92" s="265"/>
    </row>
    <row r="93" spans="1:9" x14ac:dyDescent="0.25">
      <c r="A93" s="273" t="s">
        <v>84</v>
      </c>
      <c r="B93" s="274"/>
      <c r="C93" s="274"/>
      <c r="D93" s="274"/>
      <c r="E93" s="74">
        <f>E94</f>
        <v>15042.104983741456</v>
      </c>
      <c r="F93" s="74">
        <f t="shared" ref="F93:I93" si="36">F94</f>
        <v>22430.154622071801</v>
      </c>
      <c r="G93" s="74">
        <f t="shared" si="36"/>
        <v>22430.15</v>
      </c>
      <c r="H93" s="74">
        <f t="shared" si="36"/>
        <v>22000</v>
      </c>
      <c r="I93" s="74">
        <f t="shared" si="36"/>
        <v>22000</v>
      </c>
    </row>
    <row r="94" spans="1:9" x14ac:dyDescent="0.25">
      <c r="A94" s="219">
        <v>3</v>
      </c>
      <c r="B94" s="220"/>
      <c r="C94" s="221"/>
      <c r="D94" s="25" t="s">
        <v>26</v>
      </c>
      <c r="E94" s="64">
        <f>E95+E96</f>
        <v>15042.104983741456</v>
      </c>
      <c r="F94" s="64">
        <f t="shared" ref="F94:I94" si="37">F95+F96</f>
        <v>22430.154622071801</v>
      </c>
      <c r="G94" s="64">
        <f t="shared" si="37"/>
        <v>22430.15</v>
      </c>
      <c r="H94" s="64">
        <f t="shared" si="37"/>
        <v>22000</v>
      </c>
      <c r="I94" s="64">
        <f t="shared" si="37"/>
        <v>22000</v>
      </c>
    </row>
    <row r="95" spans="1:9" x14ac:dyDescent="0.25">
      <c r="A95" s="216">
        <v>35</v>
      </c>
      <c r="B95" s="217"/>
      <c r="C95" s="218"/>
      <c r="D95" s="25" t="s">
        <v>61</v>
      </c>
      <c r="E95" s="64">
        <f>89334.74/7.5345</f>
        <v>11856.757581790431</v>
      </c>
      <c r="F95" s="64">
        <f>145000/7.5345</f>
        <v>19244.807220120776</v>
      </c>
      <c r="G95" s="64">
        <v>19244.810000000001</v>
      </c>
      <c r="H95" s="64">
        <v>18814</v>
      </c>
      <c r="I95" s="64">
        <v>18814</v>
      </c>
    </row>
    <row r="96" spans="1:9" ht="25.5" x14ac:dyDescent="0.25">
      <c r="A96" s="253">
        <v>36</v>
      </c>
      <c r="B96" s="254"/>
      <c r="C96" s="255"/>
      <c r="D96" s="49" t="s">
        <v>62</v>
      </c>
      <c r="E96" s="64">
        <f>24000/7.5345</f>
        <v>3185.3474019510249</v>
      </c>
      <c r="F96" s="64">
        <f>24000/7.5345</f>
        <v>3185.3474019510249</v>
      </c>
      <c r="G96" s="64">
        <v>3185.34</v>
      </c>
      <c r="H96" s="64">
        <v>3186</v>
      </c>
      <c r="I96" s="64">
        <v>3186</v>
      </c>
    </row>
    <row r="97" spans="1:9" x14ac:dyDescent="0.25">
      <c r="A97" s="285" t="s">
        <v>102</v>
      </c>
      <c r="B97" s="286"/>
      <c r="C97" s="286"/>
      <c r="D97" s="286"/>
      <c r="E97" s="100">
        <f>E98</f>
        <v>3549.0078970071004</v>
      </c>
      <c r="F97" s="100">
        <f t="shared" ref="F97:I100" si="38">F98</f>
        <v>5308.9123365850419</v>
      </c>
      <c r="G97" s="100">
        <f t="shared" si="38"/>
        <v>5308.91</v>
      </c>
      <c r="H97" s="100">
        <f t="shared" si="38"/>
        <v>5300</v>
      </c>
      <c r="I97" s="100">
        <f t="shared" si="38"/>
        <v>5300</v>
      </c>
    </row>
    <row r="98" spans="1:9" x14ac:dyDescent="0.25">
      <c r="A98" s="287" t="s">
        <v>159</v>
      </c>
      <c r="B98" s="288"/>
      <c r="C98" s="288"/>
      <c r="D98" s="288"/>
      <c r="E98" s="83">
        <f>E99</f>
        <v>3549.0078970071004</v>
      </c>
      <c r="F98" s="83">
        <f t="shared" si="38"/>
        <v>5308.9123365850419</v>
      </c>
      <c r="G98" s="83">
        <f t="shared" si="38"/>
        <v>5308.91</v>
      </c>
      <c r="H98" s="83">
        <f t="shared" si="38"/>
        <v>5300</v>
      </c>
      <c r="I98" s="83">
        <f t="shared" si="38"/>
        <v>5300</v>
      </c>
    </row>
    <row r="99" spans="1:9" x14ac:dyDescent="0.25">
      <c r="A99" s="273" t="s">
        <v>84</v>
      </c>
      <c r="B99" s="274"/>
      <c r="C99" s="274"/>
      <c r="D99" s="274"/>
      <c r="E99" s="74">
        <f>E100</f>
        <v>3549.0078970071004</v>
      </c>
      <c r="F99" s="74">
        <f t="shared" si="38"/>
        <v>5308.9123365850419</v>
      </c>
      <c r="G99" s="74">
        <f t="shared" si="38"/>
        <v>5308.91</v>
      </c>
      <c r="H99" s="74">
        <f t="shared" si="38"/>
        <v>5300</v>
      </c>
      <c r="I99" s="74">
        <f t="shared" si="38"/>
        <v>5300</v>
      </c>
    </row>
    <row r="100" spans="1:9" x14ac:dyDescent="0.25">
      <c r="A100" s="219">
        <v>3</v>
      </c>
      <c r="B100" s="220"/>
      <c r="C100" s="221"/>
      <c r="D100" s="25" t="s">
        <v>26</v>
      </c>
      <c r="E100" s="64">
        <f>E101</f>
        <v>3549.0078970071004</v>
      </c>
      <c r="F100" s="64">
        <f t="shared" si="38"/>
        <v>5308.9123365850419</v>
      </c>
      <c r="G100" s="64">
        <f t="shared" si="38"/>
        <v>5308.91</v>
      </c>
      <c r="H100" s="64">
        <f t="shared" si="38"/>
        <v>5300</v>
      </c>
      <c r="I100" s="64">
        <f t="shared" si="38"/>
        <v>5300</v>
      </c>
    </row>
    <row r="101" spans="1:9" x14ac:dyDescent="0.25">
      <c r="A101" s="216">
        <v>35</v>
      </c>
      <c r="B101" s="217"/>
      <c r="C101" s="218"/>
      <c r="D101" s="25" t="s">
        <v>61</v>
      </c>
      <c r="E101" s="64">
        <f>26740/7.5345</f>
        <v>3549.0078970071004</v>
      </c>
      <c r="F101" s="64">
        <f>40000/7.5345</f>
        <v>5308.9123365850419</v>
      </c>
      <c r="G101" s="64">
        <v>5308.91</v>
      </c>
      <c r="H101" s="64">
        <v>5300</v>
      </c>
      <c r="I101" s="64">
        <v>5300</v>
      </c>
    </row>
    <row r="102" spans="1:9" x14ac:dyDescent="0.25">
      <c r="A102" s="125" t="s">
        <v>103</v>
      </c>
      <c r="B102" s="125"/>
      <c r="C102" s="125"/>
      <c r="D102" s="125"/>
      <c r="E102" s="269">
        <f>E104+E130+E188+E195+E214+E220+E247</f>
        <v>1244640.3809144602</v>
      </c>
      <c r="F102" s="269">
        <f>F104+F130+F188+F195+F214+F220+F247</f>
        <v>877470.30327161716</v>
      </c>
      <c r="G102" s="269">
        <f>G104+G130+G188+G195+G214+G220+G247</f>
        <v>742849.55999999994</v>
      </c>
      <c r="H102" s="269">
        <f>H104+H130+H188+H195+H214+H220+H247</f>
        <v>580677</v>
      </c>
      <c r="I102" s="269">
        <f>I104+I130+I188+I195+I214+I220+I247</f>
        <v>817931.07000000007</v>
      </c>
    </row>
    <row r="103" spans="1:9" x14ac:dyDescent="0.25">
      <c r="A103" s="289" t="s">
        <v>104</v>
      </c>
      <c r="B103" s="290"/>
      <c r="C103" s="290"/>
      <c r="D103" s="291"/>
      <c r="E103" s="270"/>
      <c r="F103" s="270"/>
      <c r="G103" s="270"/>
      <c r="H103" s="270"/>
      <c r="I103" s="270"/>
    </row>
    <row r="104" spans="1:9" x14ac:dyDescent="0.25">
      <c r="A104" s="240" t="s">
        <v>105</v>
      </c>
      <c r="B104" s="241"/>
      <c r="C104" s="241"/>
      <c r="D104" s="242"/>
      <c r="E104" s="103">
        <f>E105+E112+E119+E124</f>
        <v>106369.35563076513</v>
      </c>
      <c r="F104" s="103">
        <f t="shared" ref="F104" si="39">F105+F112+F119+F124</f>
        <v>207989.91306656049</v>
      </c>
      <c r="G104" s="103">
        <f>G105+G112+G119+G124</f>
        <v>207180.30999999997</v>
      </c>
      <c r="H104" s="103">
        <f>H105+H112+H119+H124</f>
        <v>199060</v>
      </c>
      <c r="I104" s="103">
        <f>I105+I112+I119+I124</f>
        <v>304078</v>
      </c>
    </row>
    <row r="105" spans="1:9" x14ac:dyDescent="0.25">
      <c r="A105" s="243" t="s">
        <v>161</v>
      </c>
      <c r="B105" s="244"/>
      <c r="C105" s="244"/>
      <c r="D105" s="244"/>
      <c r="E105" s="271">
        <f>E110</f>
        <v>65840.680868007155</v>
      </c>
      <c r="F105" s="271">
        <f t="shared" ref="F105:I105" si="40">F110</f>
        <v>171876.03689694073</v>
      </c>
      <c r="G105" s="271">
        <f t="shared" si="40"/>
        <v>166567.13</v>
      </c>
      <c r="H105" s="271">
        <f t="shared" si="40"/>
        <v>168000</v>
      </c>
      <c r="I105" s="271">
        <f t="shared" si="40"/>
        <v>273018</v>
      </c>
    </row>
    <row r="106" spans="1:9" x14ac:dyDescent="0.25">
      <c r="A106" s="231" t="s">
        <v>160</v>
      </c>
      <c r="B106" s="232"/>
      <c r="C106" s="232"/>
      <c r="D106" s="232"/>
      <c r="E106" s="272"/>
      <c r="F106" s="272"/>
      <c r="G106" s="272"/>
      <c r="H106" s="272"/>
      <c r="I106" s="272"/>
    </row>
    <row r="107" spans="1:9" x14ac:dyDescent="0.25">
      <c r="A107" s="273" t="s">
        <v>164</v>
      </c>
      <c r="B107" s="274"/>
      <c r="C107" s="274"/>
      <c r="D107" s="274"/>
      <c r="E107" s="57">
        <f>144953.76/7.5345</f>
        <v>19238.670117459686</v>
      </c>
      <c r="F107" s="74">
        <f>795400/7.5345</f>
        <v>105567.72181299355</v>
      </c>
      <c r="G107" s="74">
        <f>18000+2787.18+132.72+26.54+67000+2521.73</f>
        <v>90468.17</v>
      </c>
      <c r="H107" s="74">
        <v>87172</v>
      </c>
      <c r="I107" s="74">
        <v>97054</v>
      </c>
    </row>
    <row r="108" spans="1:9" x14ac:dyDescent="0.25">
      <c r="A108" s="273" t="s">
        <v>84</v>
      </c>
      <c r="B108" s="274"/>
      <c r="C108" s="274"/>
      <c r="D108" s="274"/>
      <c r="E108" s="57">
        <f>351122.85/7.5345</f>
        <v>46602.010750547473</v>
      </c>
      <c r="F108" s="74">
        <f>368600/7.5345</f>
        <v>48921.627181631164</v>
      </c>
      <c r="G108" s="74">
        <f>G105-G107-G109</f>
        <v>54098.960000000006</v>
      </c>
      <c r="H108" s="74">
        <f>H105-H107-H109</f>
        <v>58578</v>
      </c>
      <c r="I108" s="74"/>
    </row>
    <row r="109" spans="1:9" x14ac:dyDescent="0.25">
      <c r="A109" s="273" t="s">
        <v>86</v>
      </c>
      <c r="B109" s="274"/>
      <c r="C109" s="274"/>
      <c r="D109" s="274"/>
      <c r="E109" s="57"/>
      <c r="F109" s="74">
        <f>131000/7.5345</f>
        <v>17386.687902316011</v>
      </c>
      <c r="G109" s="74">
        <f>10000+12000</f>
        <v>22000</v>
      </c>
      <c r="H109" s="74">
        <v>22250</v>
      </c>
      <c r="I109" s="74">
        <f>18483+2533.17</f>
        <v>21016.17</v>
      </c>
    </row>
    <row r="110" spans="1:9" x14ac:dyDescent="0.25">
      <c r="A110" s="219">
        <v>3</v>
      </c>
      <c r="B110" s="220"/>
      <c r="C110" s="221"/>
      <c r="D110" s="25" t="s">
        <v>26</v>
      </c>
      <c r="E110" s="51">
        <f>E111</f>
        <v>65840.680868007155</v>
      </c>
      <c r="F110" s="51">
        <f t="shared" ref="F110:I110" si="41">F111</f>
        <v>171876.03689694073</v>
      </c>
      <c r="G110" s="51">
        <f t="shared" si="41"/>
        <v>166567.13</v>
      </c>
      <c r="H110" s="51">
        <f t="shared" si="41"/>
        <v>168000</v>
      </c>
      <c r="I110" s="51">
        <f t="shared" si="41"/>
        <v>273018</v>
      </c>
    </row>
    <row r="111" spans="1:9" x14ac:dyDescent="0.25">
      <c r="A111" s="216">
        <v>32</v>
      </c>
      <c r="B111" s="217"/>
      <c r="C111" s="218"/>
      <c r="D111" s="25" t="s">
        <v>43</v>
      </c>
      <c r="E111" s="51">
        <f>496076.61/7.5345</f>
        <v>65840.680868007155</v>
      </c>
      <c r="F111" s="64">
        <f>1295000/7.5345</f>
        <v>171876.03689694073</v>
      </c>
      <c r="G111" s="64">
        <f>168956.14-2389.01</f>
        <v>166567.13</v>
      </c>
      <c r="H111" s="64">
        <v>168000</v>
      </c>
      <c r="I111" s="64">
        <v>273018</v>
      </c>
    </row>
    <row r="112" spans="1:9" x14ac:dyDescent="0.25">
      <c r="A112" s="82" t="s">
        <v>162</v>
      </c>
      <c r="B112" s="82"/>
      <c r="C112" s="82"/>
      <c r="D112" s="82"/>
      <c r="E112" s="89">
        <f>E115+E117</f>
        <v>4462.8044329418008</v>
      </c>
      <c r="F112" s="89">
        <f t="shared" ref="F112:I112" si="42">F115+F117</f>
        <v>2269.5600238901052</v>
      </c>
      <c r="G112" s="89">
        <f t="shared" si="42"/>
        <v>10750.550000000001</v>
      </c>
      <c r="H112" s="89">
        <f t="shared" si="42"/>
        <v>400</v>
      </c>
      <c r="I112" s="89">
        <f t="shared" si="42"/>
        <v>400</v>
      </c>
    </row>
    <row r="113" spans="1:9" x14ac:dyDescent="0.25">
      <c r="A113" s="58" t="s">
        <v>84</v>
      </c>
      <c r="B113" s="58"/>
      <c r="C113" s="58"/>
      <c r="D113" s="58"/>
      <c r="E113" s="65">
        <f>E112</f>
        <v>4462.8044329418008</v>
      </c>
      <c r="F113" s="74"/>
      <c r="G113" s="74"/>
      <c r="H113" s="74"/>
      <c r="I113" s="74"/>
    </row>
    <row r="114" spans="1:9" x14ac:dyDescent="0.25">
      <c r="A114" s="273" t="s">
        <v>164</v>
      </c>
      <c r="B114" s="274"/>
      <c r="C114" s="274"/>
      <c r="D114" s="274"/>
      <c r="E114" s="65"/>
      <c r="F114" s="74">
        <f>17100/7.5345</f>
        <v>2269.5600238901052</v>
      </c>
      <c r="G114" s="74">
        <f>2389.01+8361.54</f>
        <v>10750.550000000001</v>
      </c>
      <c r="H114" s="74">
        <v>400</v>
      </c>
      <c r="I114" s="74">
        <v>400</v>
      </c>
    </row>
    <row r="115" spans="1:9" x14ac:dyDescent="0.25">
      <c r="A115" s="219">
        <v>3</v>
      </c>
      <c r="B115" s="220"/>
      <c r="C115" s="221"/>
      <c r="D115" s="25" t="s">
        <v>26</v>
      </c>
      <c r="E115" s="51">
        <f>E116</f>
        <v>3235.1184551065098</v>
      </c>
      <c r="F115" s="51">
        <f t="shared" ref="F115:I115" si="43">F116</f>
        <v>132.72280841462606</v>
      </c>
      <c r="G115" s="51">
        <f t="shared" si="43"/>
        <v>10750.550000000001</v>
      </c>
      <c r="H115" s="51">
        <f t="shared" si="43"/>
        <v>400</v>
      </c>
      <c r="I115" s="51">
        <f t="shared" si="43"/>
        <v>400</v>
      </c>
    </row>
    <row r="116" spans="1:9" x14ac:dyDescent="0.25">
      <c r="A116" s="216">
        <v>32</v>
      </c>
      <c r="B116" s="217"/>
      <c r="C116" s="218"/>
      <c r="D116" s="25" t="s">
        <v>43</v>
      </c>
      <c r="E116" s="51">
        <f>24375/7.5345</f>
        <v>3235.1184551065098</v>
      </c>
      <c r="F116" s="64">
        <f>1000/7.5345</f>
        <v>132.72280841462606</v>
      </c>
      <c r="G116" s="64">
        <f>8361.54+2389.01</f>
        <v>10750.550000000001</v>
      </c>
      <c r="H116" s="64">
        <v>400</v>
      </c>
      <c r="I116" s="64">
        <v>400</v>
      </c>
    </row>
    <row r="117" spans="1:9" ht="25.5" x14ac:dyDescent="0.25">
      <c r="A117" s="219">
        <v>4</v>
      </c>
      <c r="B117" s="220"/>
      <c r="C117" s="221"/>
      <c r="D117" s="25" t="s">
        <v>5</v>
      </c>
      <c r="E117" s="51">
        <f>E118</f>
        <v>1227.6859778352909</v>
      </c>
      <c r="F117" s="51">
        <f t="shared" ref="F117:I117" si="44">F118</f>
        <v>2136.8372154754793</v>
      </c>
      <c r="G117" s="51">
        <f t="shared" si="44"/>
        <v>0</v>
      </c>
      <c r="H117" s="51">
        <f t="shared" si="44"/>
        <v>0</v>
      </c>
      <c r="I117" s="51">
        <f t="shared" si="44"/>
        <v>0</v>
      </c>
    </row>
    <row r="118" spans="1:9" ht="25.5" x14ac:dyDescent="0.25">
      <c r="A118" s="216">
        <v>42</v>
      </c>
      <c r="B118" s="217"/>
      <c r="C118" s="218"/>
      <c r="D118" s="25" t="s">
        <v>153</v>
      </c>
      <c r="E118" s="51">
        <f>9250/7.5345</f>
        <v>1227.6859778352909</v>
      </c>
      <c r="F118" s="64">
        <f>16100/7.5345</f>
        <v>2136.8372154754793</v>
      </c>
      <c r="G118" s="64"/>
      <c r="H118" s="64"/>
      <c r="I118" s="64"/>
    </row>
    <row r="119" spans="1:9" x14ac:dyDescent="0.25">
      <c r="A119" s="248" t="s">
        <v>163</v>
      </c>
      <c r="B119" s="249"/>
      <c r="C119" s="249"/>
      <c r="D119" s="250"/>
      <c r="E119" s="81">
        <f>E122</f>
        <v>2682.0213683721545</v>
      </c>
      <c r="F119" s="81">
        <f t="shared" ref="F119:I119" si="45">F122</f>
        <v>663.61404207313024</v>
      </c>
      <c r="G119" s="81">
        <f t="shared" si="45"/>
        <v>663.61</v>
      </c>
      <c r="H119" s="81">
        <f t="shared" si="45"/>
        <v>660</v>
      </c>
      <c r="I119" s="81">
        <f t="shared" si="45"/>
        <v>660</v>
      </c>
    </row>
    <row r="120" spans="1:9" x14ac:dyDescent="0.25">
      <c r="A120" s="273" t="s">
        <v>164</v>
      </c>
      <c r="B120" s="274"/>
      <c r="C120" s="274"/>
      <c r="D120" s="274"/>
      <c r="E120" s="57">
        <f>1198.29/7.5345</f>
        <v>159.04041409516225</v>
      </c>
      <c r="F120" s="74">
        <f>3000/7.5345</f>
        <v>398.16842524387812</v>
      </c>
      <c r="G120" s="74">
        <f>132.72</f>
        <v>132.72</v>
      </c>
      <c r="H120" s="74">
        <v>132.72</v>
      </c>
      <c r="I120" s="74">
        <v>132.72</v>
      </c>
    </row>
    <row r="121" spans="1:9" x14ac:dyDescent="0.25">
      <c r="A121" s="273" t="s">
        <v>84</v>
      </c>
      <c r="B121" s="274"/>
      <c r="C121" s="274"/>
      <c r="D121" s="274"/>
      <c r="E121" s="57">
        <f>19009.4/7.5345</f>
        <v>2522.9809542769926</v>
      </c>
      <c r="F121" s="74">
        <f>2000/7.5345</f>
        <v>265.44561682925212</v>
      </c>
      <c r="G121" s="74">
        <f>G119-G120</f>
        <v>530.89</v>
      </c>
      <c r="H121" s="74">
        <f>H119-H120</f>
        <v>527.28</v>
      </c>
      <c r="I121" s="74">
        <f>I119-I120</f>
        <v>527.28</v>
      </c>
    </row>
    <row r="122" spans="1:9" x14ac:dyDescent="0.25">
      <c r="A122" s="219">
        <v>3</v>
      </c>
      <c r="B122" s="220"/>
      <c r="C122" s="221"/>
      <c r="D122" s="25" t="s">
        <v>26</v>
      </c>
      <c r="E122" s="51">
        <f>E123</f>
        <v>2682.0213683721545</v>
      </c>
      <c r="F122" s="51">
        <f t="shared" ref="F122:I122" si="46">F123</f>
        <v>663.61404207313024</v>
      </c>
      <c r="G122" s="51">
        <f t="shared" si="46"/>
        <v>663.61</v>
      </c>
      <c r="H122" s="51">
        <f t="shared" si="46"/>
        <v>660</v>
      </c>
      <c r="I122" s="51">
        <f t="shared" si="46"/>
        <v>660</v>
      </c>
    </row>
    <row r="123" spans="1:9" x14ac:dyDescent="0.25">
      <c r="A123" s="216">
        <v>32</v>
      </c>
      <c r="B123" s="217"/>
      <c r="C123" s="218"/>
      <c r="D123" s="25" t="s">
        <v>43</v>
      </c>
      <c r="E123" s="51">
        <f>20207.69/7.5345</f>
        <v>2682.0213683721545</v>
      </c>
      <c r="F123" s="64">
        <f>5000/7.5345</f>
        <v>663.61404207313024</v>
      </c>
      <c r="G123" s="64">
        <v>663.61</v>
      </c>
      <c r="H123" s="64">
        <v>660</v>
      </c>
      <c r="I123" s="64">
        <v>660</v>
      </c>
    </row>
    <row r="124" spans="1:9" x14ac:dyDescent="0.25">
      <c r="A124" s="248" t="s">
        <v>166</v>
      </c>
      <c r="B124" s="249"/>
      <c r="C124" s="249"/>
      <c r="D124" s="250"/>
      <c r="E124" s="81">
        <f>E128</f>
        <v>33383.848961444019</v>
      </c>
      <c r="F124" s="81">
        <f t="shared" ref="F124:I124" si="47">F128</f>
        <v>33180.702103656513</v>
      </c>
      <c r="G124" s="81">
        <f t="shared" si="47"/>
        <v>29199.02</v>
      </c>
      <c r="H124" s="81">
        <f t="shared" si="47"/>
        <v>30000</v>
      </c>
      <c r="I124" s="81">
        <f t="shared" si="47"/>
        <v>30000</v>
      </c>
    </row>
    <row r="125" spans="1:9" x14ac:dyDescent="0.25">
      <c r="A125" s="278" t="s">
        <v>84</v>
      </c>
      <c r="B125" s="279"/>
      <c r="C125" s="279"/>
      <c r="D125" s="281"/>
      <c r="E125" s="66">
        <f>230381.61/7.5345</f>
        <v>30576.894286283095</v>
      </c>
      <c r="F125" s="74">
        <f>221000/7.5345</f>
        <v>29331.740659632356</v>
      </c>
      <c r="G125" s="74">
        <f>G124-G126-G127</f>
        <v>16748.489999999998</v>
      </c>
      <c r="H125" s="74">
        <f>H124-H126-H127</f>
        <v>16975.72</v>
      </c>
      <c r="I125" s="74"/>
    </row>
    <row r="126" spans="1:9" x14ac:dyDescent="0.25">
      <c r="A126" s="273" t="s">
        <v>164</v>
      </c>
      <c r="B126" s="274"/>
      <c r="C126" s="274"/>
      <c r="D126" s="274"/>
      <c r="E126" s="66"/>
      <c r="F126" s="74"/>
      <c r="G126" s="74">
        <v>7905.97</v>
      </c>
      <c r="H126" s="74">
        <v>8106.28</v>
      </c>
      <c r="I126" s="74">
        <v>10000</v>
      </c>
    </row>
    <row r="127" spans="1:9" x14ac:dyDescent="0.25">
      <c r="A127" s="58" t="s">
        <v>97</v>
      </c>
      <c r="B127" s="58"/>
      <c r="C127" s="58"/>
      <c r="D127" s="58"/>
      <c r="E127" s="65">
        <f>21149/7.5345</f>
        <v>2806.9546751609264</v>
      </c>
      <c r="F127" s="74">
        <f>29000/7.5345</f>
        <v>3848.9614440241553</v>
      </c>
      <c r="G127" s="74">
        <f>4544.56</f>
        <v>4544.5600000000004</v>
      </c>
      <c r="H127" s="74">
        <v>4918</v>
      </c>
      <c r="I127" s="74">
        <v>5000</v>
      </c>
    </row>
    <row r="128" spans="1:9" x14ac:dyDescent="0.25">
      <c r="A128" s="219">
        <v>3</v>
      </c>
      <c r="B128" s="220"/>
      <c r="C128" s="221"/>
      <c r="D128" s="25" t="s">
        <v>26</v>
      </c>
      <c r="E128" s="64">
        <f>E129</f>
        <v>33383.848961444019</v>
      </c>
      <c r="F128" s="64">
        <f t="shared" ref="F128:I128" si="48">F129</f>
        <v>33180.702103656513</v>
      </c>
      <c r="G128" s="64">
        <f t="shared" si="48"/>
        <v>29199.02</v>
      </c>
      <c r="H128" s="64">
        <f t="shared" si="48"/>
        <v>30000</v>
      </c>
      <c r="I128" s="64">
        <f t="shared" si="48"/>
        <v>30000</v>
      </c>
    </row>
    <row r="129" spans="1:9" x14ac:dyDescent="0.25">
      <c r="A129" s="216">
        <v>32</v>
      </c>
      <c r="B129" s="217"/>
      <c r="C129" s="218"/>
      <c r="D129" s="25" t="s">
        <v>43</v>
      </c>
      <c r="E129" s="64">
        <f>251530.61/7.5345</f>
        <v>33383.848961444019</v>
      </c>
      <c r="F129" s="64">
        <f>250000/7.5345</f>
        <v>33180.702103656513</v>
      </c>
      <c r="G129" s="64">
        <v>29199.02</v>
      </c>
      <c r="H129" s="64">
        <v>30000</v>
      </c>
      <c r="I129" s="64">
        <v>30000</v>
      </c>
    </row>
    <row r="130" spans="1:9" x14ac:dyDescent="0.25">
      <c r="A130" s="240" t="s">
        <v>106</v>
      </c>
      <c r="B130" s="241"/>
      <c r="C130" s="241"/>
      <c r="D130" s="242"/>
      <c r="E130" s="103">
        <f>E131+E166+E182</f>
        <v>187086.22337248654</v>
      </c>
      <c r="F130" s="103">
        <f>F131+F166+F182+F144+F151+F156+F161+F172</f>
        <v>242617.2937819364</v>
      </c>
      <c r="G130" s="103">
        <f>G131+G166+G182+G144+G151+G156+G161+G172+G138+G176</f>
        <v>221647.08999999997</v>
      </c>
      <c r="H130" s="103">
        <f t="shared" ref="H130:I130" si="49">H131+H166+H182+H144+H151+H156+H161+H172+H138</f>
        <v>332487</v>
      </c>
      <c r="I130" s="103">
        <f t="shared" si="49"/>
        <v>471023.07</v>
      </c>
    </row>
    <row r="131" spans="1:9" x14ac:dyDescent="0.25">
      <c r="A131" s="229" t="s">
        <v>167</v>
      </c>
      <c r="B131" s="230"/>
      <c r="C131" s="230"/>
      <c r="D131" s="280"/>
      <c r="E131" s="264">
        <f>E136</f>
        <v>137256.22536332867</v>
      </c>
      <c r="F131" s="264">
        <f t="shared" ref="F131:I131" si="50">F136</f>
        <v>22562.877430486427</v>
      </c>
      <c r="G131" s="264">
        <f t="shared" si="50"/>
        <v>0</v>
      </c>
      <c r="H131" s="264">
        <f t="shared" si="50"/>
        <v>332487</v>
      </c>
      <c r="I131" s="264">
        <f t="shared" si="50"/>
        <v>471023.07</v>
      </c>
    </row>
    <row r="132" spans="1:9" x14ac:dyDescent="0.25">
      <c r="A132" s="231" t="s">
        <v>165</v>
      </c>
      <c r="B132" s="232"/>
      <c r="C132" s="232"/>
      <c r="D132" s="233"/>
      <c r="E132" s="265"/>
      <c r="F132" s="265"/>
      <c r="G132" s="265"/>
      <c r="H132" s="265"/>
      <c r="I132" s="265"/>
    </row>
    <row r="133" spans="1:9" x14ac:dyDescent="0.25">
      <c r="A133" s="58" t="s">
        <v>91</v>
      </c>
      <c r="B133" s="58"/>
      <c r="C133" s="58"/>
      <c r="D133" s="58"/>
      <c r="E133" s="65">
        <f>573558.08/7.5345</f>
        <v>76124.23916650076</v>
      </c>
      <c r="F133" s="74">
        <f>100000/7.5345</f>
        <v>13272.280841462605</v>
      </c>
      <c r="G133" s="74"/>
      <c r="H133" s="74">
        <v>30000</v>
      </c>
      <c r="I133" s="74">
        <v>15267.28</v>
      </c>
    </row>
    <row r="134" spans="1:9" x14ac:dyDescent="0.25">
      <c r="A134" s="58" t="s">
        <v>84</v>
      </c>
      <c r="B134" s="58"/>
      <c r="C134" s="58"/>
      <c r="D134" s="58"/>
      <c r="E134" s="65">
        <f>131912.95/7.5345</f>
        <v>17507.857190258146</v>
      </c>
      <c r="F134" s="74">
        <f>30000/7.5345</f>
        <v>3981.6842524387812</v>
      </c>
      <c r="G134" s="74"/>
      <c r="H134" s="74">
        <f>H131-H133-H135</f>
        <v>200194.56</v>
      </c>
      <c r="I134" s="74">
        <v>15400</v>
      </c>
    </row>
    <row r="135" spans="1:9" x14ac:dyDescent="0.25">
      <c r="A135" s="58" t="s">
        <v>97</v>
      </c>
      <c r="B135" s="58"/>
      <c r="C135" s="58"/>
      <c r="D135" s="58"/>
      <c r="E135" s="65">
        <f>328686/7.5345</f>
        <v>43624.129006569776</v>
      </c>
      <c r="F135" s="74">
        <f>40000/7.5345</f>
        <v>5308.9123365850419</v>
      </c>
      <c r="G135" s="74"/>
      <c r="H135" s="74">
        <f>75000+27292.44</f>
        <v>102292.44</v>
      </c>
      <c r="I135" s="74">
        <v>248729</v>
      </c>
    </row>
    <row r="136" spans="1:9" ht="25.5" x14ac:dyDescent="0.25">
      <c r="A136" s="219">
        <v>4</v>
      </c>
      <c r="B136" s="220"/>
      <c r="C136" s="221"/>
      <c r="D136" s="25" t="s">
        <v>5</v>
      </c>
      <c r="E136" s="64">
        <f>E137</f>
        <v>137256.22536332867</v>
      </c>
      <c r="F136" s="64">
        <f t="shared" ref="F136:I136" si="51">F137</f>
        <v>22562.877430486427</v>
      </c>
      <c r="G136" s="64">
        <f t="shared" si="51"/>
        <v>0</v>
      </c>
      <c r="H136" s="64">
        <f t="shared" si="51"/>
        <v>332487</v>
      </c>
      <c r="I136" s="64">
        <f t="shared" si="51"/>
        <v>471023.07</v>
      </c>
    </row>
    <row r="137" spans="1:9" ht="25.5" x14ac:dyDescent="0.25">
      <c r="A137" s="216">
        <v>42</v>
      </c>
      <c r="B137" s="217"/>
      <c r="C137" s="218"/>
      <c r="D137" s="25" t="s">
        <v>153</v>
      </c>
      <c r="E137" s="64">
        <f>1034157.03/7.5345</f>
        <v>137256.22536332867</v>
      </c>
      <c r="F137" s="64">
        <f>170000/7.5345</f>
        <v>22562.877430486427</v>
      </c>
      <c r="G137" s="64"/>
      <c r="H137" s="64">
        <f>337947-26330+20870</f>
        <v>332487</v>
      </c>
      <c r="I137" s="64">
        <f>468308-19330+22045.07</f>
        <v>471023.07</v>
      </c>
    </row>
    <row r="138" spans="1:9" ht="30" customHeight="1" x14ac:dyDescent="0.25">
      <c r="A138" s="282" t="s">
        <v>209</v>
      </c>
      <c r="B138" s="283"/>
      <c r="C138" s="283"/>
      <c r="D138" s="284"/>
      <c r="E138" s="80"/>
      <c r="F138" s="80"/>
      <c r="G138" s="152">
        <f>G142</f>
        <v>42471.3</v>
      </c>
      <c r="H138" s="80"/>
      <c r="I138" s="80"/>
    </row>
    <row r="139" spans="1:9" x14ac:dyDescent="0.25">
      <c r="A139" s="58" t="s">
        <v>91</v>
      </c>
      <c r="B139" s="58"/>
      <c r="C139" s="58"/>
      <c r="D139" s="58"/>
      <c r="E139" s="74"/>
      <c r="F139" s="74"/>
      <c r="G139" s="74"/>
      <c r="H139" s="74"/>
      <c r="I139" s="74"/>
    </row>
    <row r="140" spans="1:9" x14ac:dyDescent="0.25">
      <c r="A140" s="58" t="s">
        <v>84</v>
      </c>
      <c r="B140" s="58"/>
      <c r="C140" s="58"/>
      <c r="D140" s="58"/>
      <c r="E140" s="74"/>
      <c r="F140" s="74"/>
      <c r="G140" s="74">
        <v>42471.3</v>
      </c>
      <c r="H140" s="74"/>
      <c r="I140" s="74"/>
    </row>
    <row r="141" spans="1:9" x14ac:dyDescent="0.25">
      <c r="A141" s="58" t="s">
        <v>97</v>
      </c>
      <c r="B141" s="58"/>
      <c r="C141" s="58"/>
      <c r="D141" s="58"/>
      <c r="E141" s="74"/>
      <c r="F141" s="74"/>
      <c r="G141" s="74"/>
      <c r="H141" s="74"/>
      <c r="I141" s="74"/>
    </row>
    <row r="142" spans="1:9" ht="25.5" x14ac:dyDescent="0.25">
      <c r="A142" s="219">
        <v>4</v>
      </c>
      <c r="B142" s="220"/>
      <c r="C142" s="221"/>
      <c r="D142" s="25" t="s">
        <v>5</v>
      </c>
      <c r="E142" s="64"/>
      <c r="F142" s="64"/>
      <c r="G142" s="64">
        <f>G143</f>
        <v>42471.3</v>
      </c>
      <c r="H142" s="64"/>
      <c r="I142" s="64"/>
    </row>
    <row r="143" spans="1:9" ht="25.5" x14ac:dyDescent="0.25">
      <c r="A143" s="216">
        <v>42</v>
      </c>
      <c r="B143" s="217"/>
      <c r="C143" s="218"/>
      <c r="D143" s="25" t="s">
        <v>153</v>
      </c>
      <c r="E143" s="64"/>
      <c r="F143" s="64"/>
      <c r="G143" s="64">
        <v>42471.3</v>
      </c>
      <c r="H143" s="64"/>
      <c r="I143" s="64"/>
    </row>
    <row r="144" spans="1:9" x14ac:dyDescent="0.25">
      <c r="A144" s="243" t="s">
        <v>191</v>
      </c>
      <c r="B144" s="244"/>
      <c r="C144" s="244"/>
      <c r="D144" s="245"/>
      <c r="E144" s="80"/>
      <c r="F144" s="85">
        <f>F148</f>
        <v>74324.772712190592</v>
      </c>
      <c r="G144" s="85">
        <f t="shared" ref="G144:I144" si="52">G148</f>
        <v>39816.839999999997</v>
      </c>
      <c r="H144" s="85">
        <f t="shared" si="52"/>
        <v>0</v>
      </c>
      <c r="I144" s="85">
        <f t="shared" si="52"/>
        <v>0</v>
      </c>
    </row>
    <row r="145" spans="1:9" x14ac:dyDescent="0.25">
      <c r="A145" s="58" t="s">
        <v>84</v>
      </c>
      <c r="B145" s="58"/>
      <c r="C145" s="58"/>
      <c r="D145" s="58"/>
      <c r="E145" s="74"/>
      <c r="F145" s="74">
        <f>440000/7.5345</f>
        <v>58398.03570243546</v>
      </c>
      <c r="G145" s="74">
        <v>272.27999999999997</v>
      </c>
      <c r="H145" s="74"/>
      <c r="I145" s="74"/>
    </row>
    <row r="146" spans="1:9" x14ac:dyDescent="0.25">
      <c r="A146" s="58" t="s">
        <v>91</v>
      </c>
      <c r="B146" s="58"/>
      <c r="C146" s="58"/>
      <c r="D146" s="58"/>
      <c r="E146" s="74"/>
      <c r="F146" s="74"/>
      <c r="G146" s="74">
        <v>13000</v>
      </c>
      <c r="H146" s="74"/>
      <c r="I146" s="74"/>
    </row>
    <row r="147" spans="1:9" x14ac:dyDescent="0.25">
      <c r="A147" s="58" t="s">
        <v>97</v>
      </c>
      <c r="B147" s="58"/>
      <c r="C147" s="58"/>
      <c r="D147" s="58"/>
      <c r="E147" s="74"/>
      <c r="F147" s="74">
        <f>120000/7.5345</f>
        <v>15926.737009755125</v>
      </c>
      <c r="G147" s="74">
        <v>26544.560000000001</v>
      </c>
      <c r="H147" s="74"/>
      <c r="I147" s="74"/>
    </row>
    <row r="148" spans="1:9" ht="25.5" x14ac:dyDescent="0.25">
      <c r="A148" s="219">
        <v>4</v>
      </c>
      <c r="B148" s="220"/>
      <c r="C148" s="221"/>
      <c r="D148" s="25" t="s">
        <v>5</v>
      </c>
      <c r="E148" s="64"/>
      <c r="F148" s="64">
        <f>F149</f>
        <v>74324.772712190592</v>
      </c>
      <c r="G148" s="64">
        <f>G149+G150</f>
        <v>39816.839999999997</v>
      </c>
      <c r="H148" s="64"/>
      <c r="I148" s="64"/>
    </row>
    <row r="149" spans="1:9" ht="25.5" x14ac:dyDescent="0.25">
      <c r="A149" s="216">
        <v>42</v>
      </c>
      <c r="B149" s="217"/>
      <c r="C149" s="218"/>
      <c r="D149" s="25" t="s">
        <v>153</v>
      </c>
      <c r="E149" s="64"/>
      <c r="F149" s="64">
        <f>560000/7.5345</f>
        <v>74324.772712190592</v>
      </c>
      <c r="G149" s="64"/>
      <c r="H149" s="64"/>
      <c r="I149" s="64"/>
    </row>
    <row r="150" spans="1:9" ht="25.5" x14ac:dyDescent="0.25">
      <c r="A150" s="157"/>
      <c r="B150" s="158"/>
      <c r="C150" s="158">
        <v>45</v>
      </c>
      <c r="D150" s="159" t="s">
        <v>180</v>
      </c>
      <c r="E150" s="64"/>
      <c r="F150" s="64"/>
      <c r="G150" s="64">
        <v>39816.839999999997</v>
      </c>
      <c r="H150" s="64"/>
      <c r="I150" s="64"/>
    </row>
    <row r="151" spans="1:9" s="143" customFormat="1" ht="27.75" customHeight="1" x14ac:dyDescent="0.2">
      <c r="A151" s="266" t="s">
        <v>192</v>
      </c>
      <c r="B151" s="267"/>
      <c r="C151" s="267"/>
      <c r="D151" s="268"/>
      <c r="E151" s="149"/>
      <c r="F151" s="150">
        <f>F154</f>
        <v>51761.895281704157</v>
      </c>
      <c r="G151" s="149"/>
      <c r="H151" s="149"/>
      <c r="I151" s="149"/>
    </row>
    <row r="152" spans="1:9" x14ac:dyDescent="0.25">
      <c r="A152" s="58" t="s">
        <v>84</v>
      </c>
      <c r="B152" s="58"/>
      <c r="C152" s="58"/>
      <c r="D152" s="58"/>
      <c r="E152" s="74"/>
      <c r="F152" s="74">
        <f>380000/7.5345</f>
        <v>50434.667197557901</v>
      </c>
      <c r="G152" s="74"/>
      <c r="H152" s="74"/>
      <c r="I152" s="74"/>
    </row>
    <row r="153" spans="1:9" x14ac:dyDescent="0.25">
      <c r="A153" s="58" t="s">
        <v>97</v>
      </c>
      <c r="B153" s="58"/>
      <c r="C153" s="58"/>
      <c r="D153" s="58"/>
      <c r="E153" s="74"/>
      <c r="F153" s="74">
        <f>10000/7.5345</f>
        <v>1327.2280841462605</v>
      </c>
      <c r="G153" s="74"/>
      <c r="H153" s="74"/>
      <c r="I153" s="74"/>
    </row>
    <row r="154" spans="1:9" ht="25.5" x14ac:dyDescent="0.25">
      <c r="A154" s="219">
        <v>4</v>
      </c>
      <c r="B154" s="220"/>
      <c r="C154" s="221"/>
      <c r="D154" s="25" t="s">
        <v>5</v>
      </c>
      <c r="E154" s="64"/>
      <c r="F154" s="64">
        <f>F155</f>
        <v>51761.895281704157</v>
      </c>
      <c r="G154" s="64"/>
      <c r="H154" s="64"/>
      <c r="I154" s="64"/>
    </row>
    <row r="155" spans="1:9" ht="25.5" x14ac:dyDescent="0.25">
      <c r="A155" s="216">
        <v>42</v>
      </c>
      <c r="B155" s="217"/>
      <c r="C155" s="218"/>
      <c r="D155" s="25" t="s">
        <v>153</v>
      </c>
      <c r="E155" s="64"/>
      <c r="F155" s="64">
        <f>390000/7.5345</f>
        <v>51761.895281704157</v>
      </c>
      <c r="G155" s="64"/>
      <c r="H155" s="64"/>
      <c r="I155" s="64"/>
    </row>
    <row r="156" spans="1:9" x14ac:dyDescent="0.25">
      <c r="A156" s="243" t="s">
        <v>193</v>
      </c>
      <c r="B156" s="244"/>
      <c r="C156" s="244"/>
      <c r="D156" s="245"/>
      <c r="E156" s="80"/>
      <c r="F156" s="85">
        <f>F159</f>
        <v>55743.57953414294</v>
      </c>
      <c r="G156" s="80"/>
      <c r="H156" s="80"/>
      <c r="I156" s="80"/>
    </row>
    <row r="157" spans="1:9" x14ac:dyDescent="0.25">
      <c r="A157" s="58" t="s">
        <v>84</v>
      </c>
      <c r="B157" s="58"/>
      <c r="C157" s="58"/>
      <c r="D157" s="58"/>
      <c r="E157" s="74"/>
      <c r="F157" s="74">
        <f>280000/7.5345</f>
        <v>37162.386356095296</v>
      </c>
      <c r="G157" s="74"/>
      <c r="H157" s="74"/>
      <c r="I157" s="74"/>
    </row>
    <row r="158" spans="1:9" x14ac:dyDescent="0.25">
      <c r="A158" s="58" t="s">
        <v>97</v>
      </c>
      <c r="B158" s="58"/>
      <c r="C158" s="58"/>
      <c r="D158" s="58"/>
      <c r="E158" s="74"/>
      <c r="F158" s="74">
        <f>140000/7.5345</f>
        <v>18581.193178047648</v>
      </c>
      <c r="G158" s="74"/>
      <c r="H158" s="74"/>
      <c r="I158" s="74"/>
    </row>
    <row r="159" spans="1:9" ht="25.5" x14ac:dyDescent="0.25">
      <c r="A159" s="219">
        <v>4</v>
      </c>
      <c r="B159" s="220"/>
      <c r="C159" s="221"/>
      <c r="D159" s="25" t="s">
        <v>5</v>
      </c>
      <c r="E159" s="64"/>
      <c r="F159" s="64">
        <f>F160</f>
        <v>55743.57953414294</v>
      </c>
      <c r="G159" s="64"/>
      <c r="H159" s="64"/>
      <c r="I159" s="64"/>
    </row>
    <row r="160" spans="1:9" ht="25.5" x14ac:dyDescent="0.25">
      <c r="A160" s="216">
        <v>42</v>
      </c>
      <c r="B160" s="217"/>
      <c r="C160" s="218"/>
      <c r="D160" s="25" t="s">
        <v>153</v>
      </c>
      <c r="E160" s="64"/>
      <c r="F160" s="64">
        <f>420000/7.5345</f>
        <v>55743.57953414294</v>
      </c>
      <c r="G160" s="64"/>
      <c r="H160" s="64"/>
      <c r="I160" s="64"/>
    </row>
    <row r="161" spans="1:9" x14ac:dyDescent="0.25">
      <c r="A161" s="243" t="s">
        <v>194</v>
      </c>
      <c r="B161" s="244"/>
      <c r="C161" s="244"/>
      <c r="D161" s="245"/>
      <c r="E161" s="80"/>
      <c r="F161" s="85">
        <f>F164</f>
        <v>29199.01785121773</v>
      </c>
      <c r="G161" s="152">
        <f>G164</f>
        <v>30526.25</v>
      </c>
      <c r="H161" s="80"/>
      <c r="I161" s="80"/>
    </row>
    <row r="162" spans="1:9" x14ac:dyDescent="0.25">
      <c r="A162" s="58" t="s">
        <v>97</v>
      </c>
      <c r="B162" s="58"/>
      <c r="C162" s="58"/>
      <c r="D162" s="58"/>
      <c r="E162" s="74"/>
      <c r="F162" s="167"/>
      <c r="G162" s="74">
        <v>18581.189999999999</v>
      </c>
      <c r="H162" s="74"/>
      <c r="I162" s="74"/>
    </row>
    <row r="163" spans="1:9" x14ac:dyDescent="0.25">
      <c r="A163" s="58" t="s">
        <v>84</v>
      </c>
      <c r="B163" s="58"/>
      <c r="C163" s="58"/>
      <c r="D163" s="58"/>
      <c r="E163" s="74"/>
      <c r="F163" s="74">
        <f>220000/7.5345</f>
        <v>29199.01785121773</v>
      </c>
      <c r="G163" s="74">
        <f>G161-G162</f>
        <v>11945.060000000001</v>
      </c>
      <c r="H163" s="74"/>
      <c r="I163" s="74"/>
    </row>
    <row r="164" spans="1:9" ht="25.5" x14ac:dyDescent="0.25">
      <c r="A164" s="219">
        <v>4</v>
      </c>
      <c r="B164" s="220"/>
      <c r="C164" s="221"/>
      <c r="D164" s="25" t="s">
        <v>5</v>
      </c>
      <c r="E164" s="64"/>
      <c r="F164" s="64">
        <f>F165</f>
        <v>29199.01785121773</v>
      </c>
      <c r="G164" s="64">
        <f>G165</f>
        <v>30526.25</v>
      </c>
      <c r="H164" s="64"/>
      <c r="I164" s="64"/>
    </row>
    <row r="165" spans="1:9" ht="25.5" x14ac:dyDescent="0.25">
      <c r="A165" s="216">
        <v>42</v>
      </c>
      <c r="B165" s="217"/>
      <c r="C165" s="218"/>
      <c r="D165" s="25" t="s">
        <v>153</v>
      </c>
      <c r="E165" s="64"/>
      <c r="F165" s="64">
        <f>220000/7.5345</f>
        <v>29199.01785121773</v>
      </c>
      <c r="G165" s="64">
        <v>30526.25</v>
      </c>
      <c r="H165" s="64"/>
      <c r="I165" s="64"/>
    </row>
    <row r="166" spans="1:9" x14ac:dyDescent="0.25">
      <c r="A166" s="229" t="s">
        <v>169</v>
      </c>
      <c r="B166" s="230"/>
      <c r="C166" s="230"/>
      <c r="D166" s="230"/>
      <c r="E166" s="238">
        <f>E170</f>
        <v>35804.929325104516</v>
      </c>
      <c r="F166" s="259"/>
      <c r="G166" s="261">
        <f>G170</f>
        <v>66361.399999999994</v>
      </c>
      <c r="H166" s="259"/>
      <c r="I166" s="259"/>
    </row>
    <row r="167" spans="1:9" x14ac:dyDescent="0.25">
      <c r="A167" s="231" t="s">
        <v>168</v>
      </c>
      <c r="B167" s="232"/>
      <c r="C167" s="232"/>
      <c r="D167" s="232"/>
      <c r="E167" s="263"/>
      <c r="F167" s="260"/>
      <c r="G167" s="262"/>
      <c r="H167" s="260"/>
      <c r="I167" s="260"/>
    </row>
    <row r="168" spans="1:9" x14ac:dyDescent="0.25">
      <c r="A168" s="58" t="s">
        <v>84</v>
      </c>
      <c r="B168" s="58"/>
      <c r="C168" s="58"/>
      <c r="D168" s="58"/>
      <c r="E168" s="65">
        <f>269772.24/7.5345</f>
        <v>35804.929325104516</v>
      </c>
      <c r="F168" s="74"/>
      <c r="G168" s="74"/>
      <c r="H168" s="74"/>
      <c r="I168" s="74"/>
    </row>
    <row r="169" spans="1:9" x14ac:dyDescent="0.25">
      <c r="A169" s="58" t="s">
        <v>97</v>
      </c>
      <c r="B169" s="58"/>
      <c r="C169" s="58"/>
      <c r="D169" s="58"/>
      <c r="E169" s="65"/>
      <c r="F169" s="74"/>
      <c r="G169" s="74">
        <v>66361.399999999994</v>
      </c>
      <c r="H169" s="74"/>
      <c r="I169" s="74"/>
    </row>
    <row r="170" spans="1:9" ht="25.5" x14ac:dyDescent="0.25">
      <c r="A170" s="219">
        <v>4</v>
      </c>
      <c r="B170" s="220"/>
      <c r="C170" s="221"/>
      <c r="D170" s="49" t="s">
        <v>5</v>
      </c>
      <c r="E170" s="64">
        <f>E171</f>
        <v>35804.929325104516</v>
      </c>
      <c r="F170" s="64"/>
      <c r="G170" s="64">
        <f>G171</f>
        <v>66361.399999999994</v>
      </c>
      <c r="H170" s="64"/>
      <c r="I170" s="64"/>
    </row>
    <row r="171" spans="1:9" ht="25.5" x14ac:dyDescent="0.25">
      <c r="A171" s="216">
        <v>42</v>
      </c>
      <c r="B171" s="217"/>
      <c r="C171" s="218"/>
      <c r="D171" s="49" t="s">
        <v>153</v>
      </c>
      <c r="E171" s="64">
        <f>269772.24/7.5345</f>
        <v>35804.929325104516</v>
      </c>
      <c r="F171" s="64"/>
      <c r="G171" s="64">
        <v>66361.399999999994</v>
      </c>
      <c r="H171" s="64"/>
      <c r="I171" s="64"/>
    </row>
    <row r="172" spans="1:9" x14ac:dyDescent="0.25">
      <c r="A172" s="243" t="s">
        <v>195</v>
      </c>
      <c r="B172" s="244"/>
      <c r="C172" s="244"/>
      <c r="D172" s="245"/>
      <c r="E172" s="80"/>
      <c r="F172" s="113">
        <f>F174</f>
        <v>9025.1509721945713</v>
      </c>
      <c r="G172" s="111"/>
      <c r="H172" s="111"/>
      <c r="I172" s="111"/>
    </row>
    <row r="173" spans="1:9" x14ac:dyDescent="0.25">
      <c r="A173" s="58" t="s">
        <v>91</v>
      </c>
      <c r="B173" s="58"/>
      <c r="C173" s="58"/>
      <c r="D173" s="58"/>
      <c r="E173" s="74"/>
      <c r="F173" s="75">
        <f>68000/7.5345</f>
        <v>9025.1509721945713</v>
      </c>
      <c r="G173" s="75"/>
      <c r="H173" s="75"/>
      <c r="I173" s="75"/>
    </row>
    <row r="174" spans="1:9" ht="25.5" x14ac:dyDescent="0.25">
      <c r="A174" s="219">
        <v>4</v>
      </c>
      <c r="B174" s="220"/>
      <c r="C174" s="221"/>
      <c r="D174" s="25" t="s">
        <v>5</v>
      </c>
      <c r="E174" s="64"/>
      <c r="F174" s="112">
        <f>F175</f>
        <v>9025.1509721945713</v>
      </c>
      <c r="G174" s="112"/>
      <c r="H174" s="112"/>
      <c r="I174" s="112"/>
    </row>
    <row r="175" spans="1:9" ht="25.5" x14ac:dyDescent="0.25">
      <c r="A175" s="216">
        <v>42</v>
      </c>
      <c r="B175" s="217"/>
      <c r="C175" s="218"/>
      <c r="D175" s="25" t="s">
        <v>153</v>
      </c>
      <c r="E175" s="64"/>
      <c r="F175" s="112">
        <f>68000/7.5345</f>
        <v>9025.1509721945713</v>
      </c>
      <c r="G175" s="112"/>
      <c r="H175" s="112"/>
      <c r="I175" s="112"/>
    </row>
    <row r="176" spans="1:9" x14ac:dyDescent="0.25">
      <c r="A176" s="243" t="s">
        <v>210</v>
      </c>
      <c r="B176" s="244"/>
      <c r="C176" s="244"/>
      <c r="D176" s="245"/>
      <c r="E176" s="80"/>
      <c r="F176" s="111"/>
      <c r="G176" s="160">
        <f>G180</f>
        <v>42471.3</v>
      </c>
      <c r="H176" s="160"/>
      <c r="I176" s="160"/>
    </row>
    <row r="177" spans="1:9" x14ac:dyDescent="0.25">
      <c r="A177" s="58" t="s">
        <v>84</v>
      </c>
      <c r="B177" s="58"/>
      <c r="C177" s="58"/>
      <c r="D177" s="58"/>
      <c r="E177" s="74"/>
      <c r="F177" s="75"/>
      <c r="G177" s="75">
        <v>1054.95</v>
      </c>
      <c r="H177" s="168"/>
      <c r="I177" s="168"/>
    </row>
    <row r="178" spans="1:9" x14ac:dyDescent="0.25">
      <c r="A178" s="58" t="s">
        <v>97</v>
      </c>
      <c r="B178" s="58"/>
      <c r="C178" s="58"/>
      <c r="D178" s="58"/>
      <c r="E178" s="74"/>
      <c r="F178" s="75"/>
      <c r="G178" s="75">
        <v>39816.839999999997</v>
      </c>
      <c r="H178" s="168"/>
      <c r="I178" s="168"/>
    </row>
    <row r="179" spans="1:9" x14ac:dyDescent="0.25">
      <c r="A179" s="58" t="s">
        <v>91</v>
      </c>
      <c r="B179" s="58"/>
      <c r="C179" s="58"/>
      <c r="D179" s="58"/>
      <c r="E179" s="74"/>
      <c r="F179" s="75"/>
      <c r="G179" s="75">
        <v>1599.51</v>
      </c>
      <c r="H179" s="75"/>
      <c r="I179" s="75"/>
    </row>
    <row r="180" spans="1:9" ht="25.5" x14ac:dyDescent="0.25">
      <c r="A180" s="219">
        <v>4</v>
      </c>
      <c r="B180" s="220"/>
      <c r="C180" s="221"/>
      <c r="D180" s="25" t="s">
        <v>5</v>
      </c>
      <c r="E180" s="64"/>
      <c r="F180" s="112"/>
      <c r="G180" s="112">
        <f>G181</f>
        <v>42471.3</v>
      </c>
      <c r="H180" s="112"/>
      <c r="I180" s="112"/>
    </row>
    <row r="181" spans="1:9" ht="25.5" x14ac:dyDescent="0.25">
      <c r="A181" s="216">
        <v>42</v>
      </c>
      <c r="B181" s="217"/>
      <c r="C181" s="218"/>
      <c r="D181" s="25" t="s">
        <v>153</v>
      </c>
      <c r="E181" s="64"/>
      <c r="F181" s="112"/>
      <c r="G181" s="112">
        <v>42471.3</v>
      </c>
      <c r="H181" s="112"/>
      <c r="I181" s="112"/>
    </row>
    <row r="182" spans="1:9" x14ac:dyDescent="0.25">
      <c r="A182" s="229" t="s">
        <v>107</v>
      </c>
      <c r="B182" s="230"/>
      <c r="C182" s="230"/>
      <c r="D182" s="230"/>
      <c r="E182" s="238">
        <f>E186</f>
        <v>14025.068684053354</v>
      </c>
      <c r="F182" s="259"/>
      <c r="G182" s="259"/>
      <c r="H182" s="259"/>
      <c r="I182" s="259"/>
    </row>
    <row r="183" spans="1:9" x14ac:dyDescent="0.25">
      <c r="A183" s="231" t="s">
        <v>108</v>
      </c>
      <c r="B183" s="232"/>
      <c r="C183" s="232"/>
      <c r="D183" s="232"/>
      <c r="E183" s="263"/>
      <c r="F183" s="260"/>
      <c r="G183" s="260"/>
      <c r="H183" s="260"/>
      <c r="I183" s="260"/>
    </row>
    <row r="184" spans="1:9" x14ac:dyDescent="0.25">
      <c r="A184" s="58" t="s">
        <v>109</v>
      </c>
      <c r="B184" s="58"/>
      <c r="C184" s="58"/>
      <c r="D184" s="58"/>
      <c r="E184" s="65">
        <f>12787.03/7.5345</f>
        <v>1697.1305328820758</v>
      </c>
      <c r="F184" s="74"/>
      <c r="G184" s="74"/>
      <c r="H184" s="74"/>
      <c r="I184" s="74"/>
    </row>
    <row r="185" spans="1:9" x14ac:dyDescent="0.25">
      <c r="A185" s="58" t="s">
        <v>91</v>
      </c>
      <c r="B185" s="58"/>
      <c r="C185" s="58"/>
      <c r="D185" s="58"/>
      <c r="E185" s="65">
        <f>92884.85/7.5345</f>
        <v>12327.938151171278</v>
      </c>
      <c r="F185" s="74"/>
      <c r="G185" s="74"/>
      <c r="H185" s="74"/>
      <c r="I185" s="74"/>
    </row>
    <row r="186" spans="1:9" ht="25.5" x14ac:dyDescent="0.25">
      <c r="A186" s="219">
        <v>4</v>
      </c>
      <c r="B186" s="220"/>
      <c r="C186" s="221"/>
      <c r="D186" s="49" t="s">
        <v>5</v>
      </c>
      <c r="E186" s="64">
        <f>E187</f>
        <v>14025.068684053354</v>
      </c>
      <c r="F186" s="64"/>
      <c r="G186" s="64"/>
      <c r="H186" s="64"/>
      <c r="I186" s="64"/>
    </row>
    <row r="187" spans="1:9" ht="25.5" x14ac:dyDescent="0.25">
      <c r="A187" s="216">
        <v>42</v>
      </c>
      <c r="B187" s="217"/>
      <c r="C187" s="218"/>
      <c r="D187" s="49" t="s">
        <v>153</v>
      </c>
      <c r="E187" s="64">
        <f>105671.88/7.5345</f>
        <v>14025.068684053354</v>
      </c>
      <c r="F187" s="64"/>
      <c r="G187" s="64"/>
      <c r="H187" s="64"/>
      <c r="I187" s="64"/>
    </row>
    <row r="188" spans="1:9" x14ac:dyDescent="0.25">
      <c r="A188" s="251" t="s">
        <v>110</v>
      </c>
      <c r="B188" s="252"/>
      <c r="C188" s="252"/>
      <c r="D188" s="252"/>
      <c r="E188" s="236">
        <f>E190</f>
        <v>2439.2262260269422</v>
      </c>
      <c r="F188" s="236">
        <f t="shared" ref="F188:G188" si="53">F190</f>
        <v>9290.596589023824</v>
      </c>
      <c r="G188" s="236">
        <f t="shared" si="53"/>
        <v>26544.560000000001</v>
      </c>
      <c r="H188" s="236">
        <f t="shared" ref="H188:I188" si="54">H190</f>
        <v>0</v>
      </c>
      <c r="I188" s="236">
        <f t="shared" si="54"/>
        <v>0</v>
      </c>
    </row>
    <row r="189" spans="1:9" x14ac:dyDescent="0.25">
      <c r="A189" s="105" t="s">
        <v>111</v>
      </c>
      <c r="B189" s="106"/>
      <c r="C189" s="106"/>
      <c r="D189" s="106"/>
      <c r="E189" s="237"/>
      <c r="F189" s="237"/>
      <c r="G189" s="237"/>
      <c r="H189" s="237"/>
      <c r="I189" s="237"/>
    </row>
    <row r="190" spans="1:9" x14ac:dyDescent="0.25">
      <c r="A190" s="243" t="s">
        <v>170</v>
      </c>
      <c r="B190" s="244"/>
      <c r="C190" s="244"/>
      <c r="D190" s="245"/>
      <c r="E190" s="238">
        <f>E192</f>
        <v>2439.2262260269422</v>
      </c>
      <c r="F190" s="238">
        <f t="shared" ref="F190" si="55">F192</f>
        <v>9290.596589023824</v>
      </c>
      <c r="G190" s="238">
        <f>G193</f>
        <v>26544.560000000001</v>
      </c>
      <c r="H190" s="238">
        <f t="shared" ref="H190:I190" si="56">H193</f>
        <v>0</v>
      </c>
      <c r="I190" s="238">
        <f t="shared" si="56"/>
        <v>0</v>
      </c>
    </row>
    <row r="191" spans="1:9" x14ac:dyDescent="0.25">
      <c r="A191" s="231" t="s">
        <v>171</v>
      </c>
      <c r="B191" s="232"/>
      <c r="C191" s="232"/>
      <c r="D191" s="232"/>
      <c r="E191" s="239"/>
      <c r="F191" s="239"/>
      <c r="G191" s="239"/>
      <c r="H191" s="239"/>
      <c r="I191" s="239"/>
    </row>
    <row r="192" spans="1:9" x14ac:dyDescent="0.25">
      <c r="A192" s="58" t="s">
        <v>84</v>
      </c>
      <c r="B192" s="58"/>
      <c r="C192" s="58"/>
      <c r="D192" s="58"/>
      <c r="E192" s="65">
        <f>E193</f>
        <v>2439.2262260269422</v>
      </c>
      <c r="F192" s="74">
        <f>70000/7.5345</f>
        <v>9290.596589023824</v>
      </c>
      <c r="G192" s="74">
        <v>26544.560000000001</v>
      </c>
      <c r="H192" s="74"/>
      <c r="I192" s="74"/>
    </row>
    <row r="193" spans="1:9" ht="25.5" x14ac:dyDescent="0.25">
      <c r="A193" s="219">
        <v>4</v>
      </c>
      <c r="B193" s="220"/>
      <c r="C193" s="221"/>
      <c r="D193" s="49" t="s">
        <v>5</v>
      </c>
      <c r="E193" s="64">
        <f>E194</f>
        <v>2439.2262260269422</v>
      </c>
      <c r="F193" s="64">
        <f t="shared" ref="F193:I193" si="57">F194</f>
        <v>9290.596589023824</v>
      </c>
      <c r="G193" s="64">
        <f t="shared" si="57"/>
        <v>26544.560000000001</v>
      </c>
      <c r="H193" s="64">
        <f t="shared" si="57"/>
        <v>0</v>
      </c>
      <c r="I193" s="64">
        <f t="shared" si="57"/>
        <v>0</v>
      </c>
    </row>
    <row r="194" spans="1:9" ht="25.5" x14ac:dyDescent="0.25">
      <c r="A194" s="216">
        <v>42</v>
      </c>
      <c r="B194" s="217"/>
      <c r="C194" s="218"/>
      <c r="D194" s="49" t="s">
        <v>153</v>
      </c>
      <c r="E194" s="64">
        <f>18378.35/7.5345</f>
        <v>2439.2262260269422</v>
      </c>
      <c r="F194" s="64">
        <f>70000/7.5345</f>
        <v>9290.596589023824</v>
      </c>
      <c r="G194" s="64">
        <v>26544.560000000001</v>
      </c>
      <c r="H194" s="64"/>
      <c r="I194" s="64"/>
    </row>
    <row r="195" spans="1:9" x14ac:dyDescent="0.25">
      <c r="A195" s="101" t="s">
        <v>112</v>
      </c>
      <c r="B195" s="101"/>
      <c r="C195" s="101"/>
      <c r="D195" s="101"/>
      <c r="E195" s="104">
        <f>E196+E201+E208</f>
        <v>791343.86090649676</v>
      </c>
      <c r="F195" s="104">
        <f t="shared" ref="F195:G195" si="58">F196+F201+F208</f>
        <v>273594.79726591014</v>
      </c>
      <c r="G195" s="104">
        <f t="shared" si="58"/>
        <v>27340.899999999998</v>
      </c>
      <c r="H195" s="104">
        <f>H196+H201+H208</f>
        <v>22800</v>
      </c>
      <c r="I195" s="104">
        <f>I196+I201+I208</f>
        <v>23500</v>
      </c>
    </row>
    <row r="196" spans="1:9" x14ac:dyDescent="0.25">
      <c r="A196" s="76" t="s">
        <v>172</v>
      </c>
      <c r="B196" s="76"/>
      <c r="C196" s="76"/>
      <c r="D196" s="76"/>
      <c r="E196" s="93">
        <f>E198</f>
        <v>11780.436658039684</v>
      </c>
      <c r="F196" s="93">
        <f t="shared" ref="F196:I196" si="59">F198</f>
        <v>10219.656247926205</v>
      </c>
      <c r="G196" s="93">
        <f t="shared" si="59"/>
        <v>11546.88</v>
      </c>
      <c r="H196" s="93">
        <f t="shared" si="59"/>
        <v>12000</v>
      </c>
      <c r="I196" s="93">
        <f t="shared" si="59"/>
        <v>12000</v>
      </c>
    </row>
    <row r="197" spans="1:9" x14ac:dyDescent="0.25">
      <c r="A197" s="58" t="s">
        <v>84</v>
      </c>
      <c r="B197" s="58"/>
      <c r="C197" s="58"/>
      <c r="D197" s="58"/>
      <c r="E197" s="65">
        <f>E196</f>
        <v>11780.436658039684</v>
      </c>
      <c r="F197" s="74">
        <f>77000/7.5345</f>
        <v>10219.656247926205</v>
      </c>
      <c r="G197" s="74">
        <v>11546.88</v>
      </c>
      <c r="H197" s="74">
        <v>12000</v>
      </c>
      <c r="I197" s="74">
        <v>12000</v>
      </c>
    </row>
    <row r="198" spans="1:9" x14ac:dyDescent="0.25">
      <c r="A198" s="219">
        <v>3</v>
      </c>
      <c r="B198" s="220"/>
      <c r="C198" s="221"/>
      <c r="D198" s="25" t="s">
        <v>26</v>
      </c>
      <c r="E198" s="51">
        <f>E199+E200</f>
        <v>11780.436658039684</v>
      </c>
      <c r="F198" s="51">
        <f t="shared" ref="F198:I198" si="60">F199+F200</f>
        <v>10219.656247926205</v>
      </c>
      <c r="G198" s="51">
        <f t="shared" si="60"/>
        <v>11546.88</v>
      </c>
      <c r="H198" s="51">
        <f t="shared" si="60"/>
        <v>12000</v>
      </c>
      <c r="I198" s="51">
        <f t="shared" si="60"/>
        <v>12000</v>
      </c>
    </row>
    <row r="199" spans="1:9" x14ac:dyDescent="0.25">
      <c r="A199" s="216">
        <v>32</v>
      </c>
      <c r="B199" s="217"/>
      <c r="C199" s="218"/>
      <c r="D199" s="25" t="s">
        <v>43</v>
      </c>
      <c r="E199" s="51">
        <f>75759.7/7.5345</f>
        <v>10055.040148649545</v>
      </c>
      <c r="F199" s="64">
        <f>65000/7.5345</f>
        <v>8626.9825469506923</v>
      </c>
      <c r="G199" s="64">
        <v>9954.2099999999991</v>
      </c>
      <c r="H199" s="64">
        <v>10400</v>
      </c>
      <c r="I199" s="64">
        <v>10400</v>
      </c>
    </row>
    <row r="200" spans="1:9" ht="25.5" x14ac:dyDescent="0.25">
      <c r="A200" s="253">
        <v>36</v>
      </c>
      <c r="B200" s="254"/>
      <c r="C200" s="255"/>
      <c r="D200" s="49" t="s">
        <v>62</v>
      </c>
      <c r="E200" s="51">
        <f>13000/7.5345</f>
        <v>1725.3965093901386</v>
      </c>
      <c r="F200" s="64">
        <f>12000/7.5345</f>
        <v>1592.6737009755125</v>
      </c>
      <c r="G200" s="64">
        <v>1592.67</v>
      </c>
      <c r="H200" s="64">
        <v>1600</v>
      </c>
      <c r="I200" s="64">
        <v>1600</v>
      </c>
    </row>
    <row r="201" spans="1:9" x14ac:dyDescent="0.25">
      <c r="A201" s="248" t="s">
        <v>173</v>
      </c>
      <c r="B201" s="249"/>
      <c r="C201" s="249"/>
      <c r="D201" s="250"/>
      <c r="E201" s="81">
        <f>E204+E206</f>
        <v>774818.16842524381</v>
      </c>
      <c r="F201" s="81">
        <f t="shared" ref="F201:I201" si="61">F204+F206</f>
        <v>228734.48802176653</v>
      </c>
      <c r="G201" s="81">
        <f t="shared" si="61"/>
        <v>9821.49</v>
      </c>
      <c r="H201" s="81">
        <f t="shared" si="61"/>
        <v>10000</v>
      </c>
      <c r="I201" s="81">
        <f t="shared" si="61"/>
        <v>10000</v>
      </c>
    </row>
    <row r="202" spans="1:9" x14ac:dyDescent="0.25">
      <c r="A202" s="58" t="s">
        <v>84</v>
      </c>
      <c r="B202" s="58"/>
      <c r="C202" s="58"/>
      <c r="D202" s="58"/>
      <c r="E202" s="65">
        <f>1645405.51/7.5345</f>
        <v>218382.84026810006</v>
      </c>
      <c r="F202" s="74">
        <f>1723400/7.5345</f>
        <v>228734.48802176653</v>
      </c>
      <c r="G202" s="74">
        <v>9821.49</v>
      </c>
      <c r="H202" s="74">
        <v>10000</v>
      </c>
      <c r="I202" s="74">
        <v>10000</v>
      </c>
    </row>
    <row r="203" spans="1:9" x14ac:dyDescent="0.25">
      <c r="A203" s="58" t="s">
        <v>86</v>
      </c>
      <c r="B203" s="58"/>
      <c r="C203" s="58"/>
      <c r="D203" s="58"/>
      <c r="E203" s="65">
        <f>4192461.98/7.5345</f>
        <v>556435.32815714378</v>
      </c>
      <c r="F203" s="74"/>
      <c r="G203" s="74"/>
      <c r="H203" s="74"/>
      <c r="I203" s="74"/>
    </row>
    <row r="204" spans="1:9" x14ac:dyDescent="0.25">
      <c r="A204" s="219">
        <v>3</v>
      </c>
      <c r="B204" s="220"/>
      <c r="C204" s="221"/>
      <c r="D204" s="25" t="s">
        <v>26</v>
      </c>
      <c r="E204" s="51">
        <f>E205</f>
        <v>58441.648417280507</v>
      </c>
      <c r="F204" s="51">
        <f t="shared" ref="F204:I204" si="62">F205</f>
        <v>23279.580595925407</v>
      </c>
      <c r="G204" s="51">
        <f t="shared" si="62"/>
        <v>9821.49</v>
      </c>
      <c r="H204" s="51">
        <f t="shared" si="62"/>
        <v>10000</v>
      </c>
      <c r="I204" s="51">
        <f t="shared" si="62"/>
        <v>10000</v>
      </c>
    </row>
    <row r="205" spans="1:9" x14ac:dyDescent="0.25">
      <c r="A205" s="216">
        <v>32</v>
      </c>
      <c r="B205" s="217"/>
      <c r="C205" s="218"/>
      <c r="D205" s="25" t="s">
        <v>43</v>
      </c>
      <c r="E205" s="51">
        <f>440328.6/7.5345</f>
        <v>58441.648417280507</v>
      </c>
      <c r="F205" s="64">
        <f>175400/7.5345</f>
        <v>23279.580595925407</v>
      </c>
      <c r="G205" s="64">
        <v>9821.49</v>
      </c>
      <c r="H205" s="64">
        <v>10000</v>
      </c>
      <c r="I205" s="64">
        <v>10000</v>
      </c>
    </row>
    <row r="206" spans="1:9" ht="25.5" x14ac:dyDescent="0.25">
      <c r="A206" s="219">
        <v>4</v>
      </c>
      <c r="B206" s="220"/>
      <c r="C206" s="221"/>
      <c r="D206" s="49" t="s">
        <v>5</v>
      </c>
      <c r="E206" s="51">
        <f>E207</f>
        <v>716376.52000796329</v>
      </c>
      <c r="F206" s="51">
        <f t="shared" ref="F206:I206" si="63">F207</f>
        <v>205454.90742584111</v>
      </c>
      <c r="G206" s="51">
        <f t="shared" si="63"/>
        <v>0</v>
      </c>
      <c r="H206" s="51">
        <f t="shared" si="63"/>
        <v>0</v>
      </c>
      <c r="I206" s="51">
        <f t="shared" si="63"/>
        <v>0</v>
      </c>
    </row>
    <row r="207" spans="1:9" ht="25.5" x14ac:dyDescent="0.25">
      <c r="A207" s="216">
        <v>42</v>
      </c>
      <c r="B207" s="217"/>
      <c r="C207" s="218"/>
      <c r="D207" s="49" t="s">
        <v>153</v>
      </c>
      <c r="E207" s="51">
        <f>5397538.89/7.5345</f>
        <v>716376.52000796329</v>
      </c>
      <c r="F207" s="64">
        <f>1548000/7.5345</f>
        <v>205454.90742584111</v>
      </c>
      <c r="G207" s="64"/>
      <c r="H207" s="64"/>
      <c r="I207" s="64"/>
    </row>
    <row r="208" spans="1:9" x14ac:dyDescent="0.25">
      <c r="A208" s="248" t="s">
        <v>174</v>
      </c>
      <c r="B208" s="249"/>
      <c r="C208" s="249"/>
      <c r="D208" s="250"/>
      <c r="E208" s="81">
        <f>E210+E212</f>
        <v>4745.2558232132187</v>
      </c>
      <c r="F208" s="81">
        <f t="shared" ref="F208:I208" si="64">F210+F212</f>
        <v>34640.652996217395</v>
      </c>
      <c r="G208" s="81">
        <f t="shared" si="64"/>
        <v>5972.53</v>
      </c>
      <c r="H208" s="81">
        <f t="shared" si="64"/>
        <v>800</v>
      </c>
      <c r="I208" s="81">
        <f t="shared" si="64"/>
        <v>1500</v>
      </c>
    </row>
    <row r="209" spans="1:9" x14ac:dyDescent="0.25">
      <c r="A209" s="58" t="s">
        <v>84</v>
      </c>
      <c r="B209" s="58"/>
      <c r="C209" s="58"/>
      <c r="D209" s="58"/>
      <c r="E209" s="65">
        <f>E208</f>
        <v>4745.2558232132187</v>
      </c>
      <c r="F209" s="74">
        <f>261000/7.5345</f>
        <v>34640.652996217395</v>
      </c>
      <c r="G209" s="74">
        <v>5972.53</v>
      </c>
      <c r="H209" s="74">
        <v>800</v>
      </c>
      <c r="I209" s="74">
        <v>1500</v>
      </c>
    </row>
    <row r="210" spans="1:9" x14ac:dyDescent="0.25">
      <c r="A210" s="219">
        <v>3</v>
      </c>
      <c r="B210" s="220"/>
      <c r="C210" s="221"/>
      <c r="D210" s="49" t="s">
        <v>26</v>
      </c>
      <c r="E210" s="51">
        <f>E211</f>
        <v>2765.0315216669983</v>
      </c>
      <c r="F210" s="51">
        <f t="shared" ref="F210:I210" si="65">F211</f>
        <v>0</v>
      </c>
      <c r="G210" s="51">
        <f t="shared" si="65"/>
        <v>0</v>
      </c>
      <c r="H210" s="51">
        <f t="shared" si="65"/>
        <v>0</v>
      </c>
      <c r="I210" s="51">
        <f t="shared" si="65"/>
        <v>0</v>
      </c>
    </row>
    <row r="211" spans="1:9" ht="25.5" x14ac:dyDescent="0.25">
      <c r="A211" s="253">
        <v>36</v>
      </c>
      <c r="B211" s="254"/>
      <c r="C211" s="255"/>
      <c r="D211" s="49" t="s">
        <v>62</v>
      </c>
      <c r="E211" s="51">
        <f>20833.13/7.5345</f>
        <v>2765.0315216669983</v>
      </c>
      <c r="F211" s="64"/>
      <c r="G211" s="64"/>
      <c r="H211" s="64"/>
      <c r="I211" s="64"/>
    </row>
    <row r="212" spans="1:9" ht="25.5" x14ac:dyDescent="0.25">
      <c r="A212" s="219">
        <v>4</v>
      </c>
      <c r="B212" s="220"/>
      <c r="C212" s="221"/>
      <c r="D212" s="49" t="s">
        <v>5</v>
      </c>
      <c r="E212" s="51">
        <f>E213</f>
        <v>1980.2243015462207</v>
      </c>
      <c r="F212" s="51">
        <f t="shared" ref="F212:I212" si="66">F213</f>
        <v>34640.652996217395</v>
      </c>
      <c r="G212" s="51">
        <f>G213</f>
        <v>5972.53</v>
      </c>
      <c r="H212" s="51">
        <f t="shared" si="66"/>
        <v>800</v>
      </c>
      <c r="I212" s="51">
        <f t="shared" si="66"/>
        <v>1500</v>
      </c>
    </row>
    <row r="213" spans="1:9" ht="25.5" x14ac:dyDescent="0.25">
      <c r="A213" s="216">
        <v>42</v>
      </c>
      <c r="B213" s="217"/>
      <c r="C213" s="218"/>
      <c r="D213" s="49" t="s">
        <v>153</v>
      </c>
      <c r="E213" s="51">
        <f>14920/7.5345</f>
        <v>1980.2243015462207</v>
      </c>
      <c r="F213" s="64">
        <f>261000/7.5345</f>
        <v>34640.652996217395</v>
      </c>
      <c r="G213" s="64">
        <f>5972.53</f>
        <v>5972.53</v>
      </c>
      <c r="H213" s="64">
        <v>800</v>
      </c>
      <c r="I213" s="64">
        <v>1500</v>
      </c>
    </row>
    <row r="214" spans="1:9" x14ac:dyDescent="0.25">
      <c r="A214" s="101" t="s">
        <v>113</v>
      </c>
      <c r="B214" s="101"/>
      <c r="C214" s="101"/>
      <c r="D214" s="101"/>
      <c r="E214" s="107">
        <f>E215</f>
        <v>5750.5235914791956</v>
      </c>
      <c r="F214" s="107">
        <f t="shared" ref="F214:I214" si="67">F215</f>
        <v>7697.9228880483106</v>
      </c>
      <c r="G214" s="107">
        <f t="shared" si="67"/>
        <v>9954.2100000000009</v>
      </c>
      <c r="H214" s="107">
        <f t="shared" si="67"/>
        <v>10000</v>
      </c>
      <c r="I214" s="107">
        <f t="shared" si="67"/>
        <v>10000</v>
      </c>
    </row>
    <row r="215" spans="1:9" x14ac:dyDescent="0.25">
      <c r="A215" s="76" t="s">
        <v>175</v>
      </c>
      <c r="B215" s="76"/>
      <c r="C215" s="76"/>
      <c r="D215" s="76"/>
      <c r="E215" s="92">
        <f>E217</f>
        <v>5750.5235914791956</v>
      </c>
      <c r="F215" s="92">
        <f t="shared" ref="F215:I215" si="68">F217</f>
        <v>7697.9228880483106</v>
      </c>
      <c r="G215" s="92">
        <f t="shared" si="68"/>
        <v>9954.2100000000009</v>
      </c>
      <c r="H215" s="92">
        <f t="shared" si="68"/>
        <v>10000</v>
      </c>
      <c r="I215" s="92">
        <f t="shared" si="68"/>
        <v>10000</v>
      </c>
    </row>
    <row r="216" spans="1:9" x14ac:dyDescent="0.25">
      <c r="A216" s="55" t="s">
        <v>84</v>
      </c>
      <c r="B216" s="55"/>
      <c r="C216" s="55"/>
      <c r="D216" s="55"/>
      <c r="E216" s="68">
        <f>E217</f>
        <v>5750.5235914791956</v>
      </c>
      <c r="F216" s="74">
        <f>58000/7.5345</f>
        <v>7697.9228880483106</v>
      </c>
      <c r="G216" s="74">
        <v>9954.2099999999991</v>
      </c>
      <c r="H216" s="74">
        <v>10000</v>
      </c>
      <c r="I216" s="74">
        <v>10000</v>
      </c>
    </row>
    <row r="217" spans="1:9" x14ac:dyDescent="0.25">
      <c r="A217" s="219">
        <v>3</v>
      </c>
      <c r="B217" s="220"/>
      <c r="C217" s="221"/>
      <c r="D217" s="49" t="s">
        <v>26</v>
      </c>
      <c r="E217" s="51">
        <f>E218+E219</f>
        <v>5750.5235914791956</v>
      </c>
      <c r="F217" s="51">
        <f t="shared" ref="F217:I217" si="69">F218+F219</f>
        <v>7697.9228880483106</v>
      </c>
      <c r="G217" s="51">
        <f t="shared" si="69"/>
        <v>9954.2100000000009</v>
      </c>
      <c r="H217" s="51">
        <f t="shared" si="69"/>
        <v>10000</v>
      </c>
      <c r="I217" s="51">
        <f t="shared" si="69"/>
        <v>10000</v>
      </c>
    </row>
    <row r="218" spans="1:9" x14ac:dyDescent="0.25">
      <c r="A218" s="216">
        <v>32</v>
      </c>
      <c r="B218" s="217"/>
      <c r="C218" s="218"/>
      <c r="D218" s="49" t="s">
        <v>43</v>
      </c>
      <c r="E218" s="51">
        <f>43327.32/7.5345</f>
        <v>5750.5235914791956</v>
      </c>
      <c r="F218" s="64">
        <f>55000/7.5345</f>
        <v>7299.7544628044325</v>
      </c>
      <c r="G218" s="64">
        <v>9556.0400000000009</v>
      </c>
      <c r="H218" s="64">
        <v>9600</v>
      </c>
      <c r="I218" s="64">
        <v>9600</v>
      </c>
    </row>
    <row r="219" spans="1:9" x14ac:dyDescent="0.25">
      <c r="A219" s="216">
        <v>35</v>
      </c>
      <c r="B219" s="217"/>
      <c r="C219" s="218"/>
      <c r="D219" s="49" t="s">
        <v>61</v>
      </c>
      <c r="E219" s="51"/>
      <c r="F219" s="64">
        <f>3000/7.5345</f>
        <v>398.16842524387812</v>
      </c>
      <c r="G219" s="64">
        <v>398.17</v>
      </c>
      <c r="H219" s="64">
        <v>400</v>
      </c>
      <c r="I219" s="64">
        <v>400</v>
      </c>
    </row>
    <row r="220" spans="1:9" x14ac:dyDescent="0.25">
      <c r="A220" s="240" t="s">
        <v>114</v>
      </c>
      <c r="B220" s="241"/>
      <c r="C220" s="241"/>
      <c r="D220" s="242"/>
      <c r="E220" s="103">
        <f>E225+E243</f>
        <v>48454.330081624532</v>
      </c>
      <c r="F220" s="103">
        <f>F225+F243+F234+F239</f>
        <v>46983.874178777616</v>
      </c>
      <c r="G220" s="103">
        <f>G225+G243+G221+G234+G239</f>
        <v>97551.26</v>
      </c>
      <c r="H220" s="103">
        <f t="shared" ref="H220:I220" si="70">H225+H243+H221+H234+H239</f>
        <v>1330</v>
      </c>
      <c r="I220" s="103">
        <f t="shared" si="70"/>
        <v>1330</v>
      </c>
    </row>
    <row r="221" spans="1:9" x14ac:dyDescent="0.25">
      <c r="A221" s="248" t="s">
        <v>211</v>
      </c>
      <c r="B221" s="249"/>
      <c r="C221" s="249"/>
      <c r="D221" s="250"/>
      <c r="E221" s="153"/>
      <c r="F221" s="153"/>
      <c r="G221" s="153">
        <f>G223</f>
        <v>19908.419999999998</v>
      </c>
      <c r="H221" s="153"/>
      <c r="I221" s="153"/>
    </row>
    <row r="222" spans="1:9" x14ac:dyDescent="0.25">
      <c r="A222" s="58" t="s">
        <v>84</v>
      </c>
      <c r="B222" s="58"/>
      <c r="C222" s="58"/>
      <c r="D222" s="58"/>
      <c r="E222" s="163"/>
      <c r="F222" s="163"/>
      <c r="G222" s="170">
        <v>19908.419999999998</v>
      </c>
      <c r="H222" s="163"/>
      <c r="I222" s="163"/>
    </row>
    <row r="223" spans="1:9" ht="25.5" x14ac:dyDescent="0.25">
      <c r="A223" s="219">
        <v>4</v>
      </c>
      <c r="B223" s="220"/>
      <c r="C223" s="221"/>
      <c r="D223" s="49" t="s">
        <v>5</v>
      </c>
      <c r="E223" s="161"/>
      <c r="F223" s="161"/>
      <c r="G223" s="162">
        <f>G224</f>
        <v>19908.419999999998</v>
      </c>
      <c r="H223" s="161"/>
      <c r="I223" s="161"/>
    </row>
    <row r="224" spans="1:9" ht="25.5" x14ac:dyDescent="0.25">
      <c r="A224" s="216">
        <v>42</v>
      </c>
      <c r="B224" s="217"/>
      <c r="C224" s="218"/>
      <c r="D224" s="49" t="s">
        <v>153</v>
      </c>
      <c r="E224" s="161"/>
      <c r="F224" s="161"/>
      <c r="G224" s="162">
        <v>19908.419999999998</v>
      </c>
      <c r="H224" s="161"/>
      <c r="I224" s="161"/>
    </row>
    <row r="225" spans="1:9" x14ac:dyDescent="0.25">
      <c r="A225" s="243" t="s">
        <v>205</v>
      </c>
      <c r="B225" s="244"/>
      <c r="C225" s="244"/>
      <c r="D225" s="245"/>
      <c r="E225" s="246">
        <f>E229</f>
        <v>41463.985665936692</v>
      </c>
      <c r="F225" s="224">
        <f>F229+F231</f>
        <v>3185.3474019510249</v>
      </c>
      <c r="G225" s="224">
        <f t="shared" ref="G225:I225" si="71">G229+G231</f>
        <v>17917.579999999998</v>
      </c>
      <c r="H225" s="224">
        <f t="shared" si="71"/>
        <v>1330</v>
      </c>
      <c r="I225" s="224">
        <f t="shared" si="71"/>
        <v>1330</v>
      </c>
    </row>
    <row r="226" spans="1:9" x14ac:dyDescent="0.25">
      <c r="A226" s="231" t="s">
        <v>115</v>
      </c>
      <c r="B226" s="232"/>
      <c r="C226" s="232"/>
      <c r="D226" s="233"/>
      <c r="E226" s="247"/>
      <c r="F226" s="225"/>
      <c r="G226" s="225"/>
      <c r="H226" s="225"/>
      <c r="I226" s="225"/>
    </row>
    <row r="227" spans="1:9" x14ac:dyDescent="0.25">
      <c r="A227" s="58" t="s">
        <v>84</v>
      </c>
      <c r="B227" s="58"/>
      <c r="C227" s="58"/>
      <c r="D227" s="58"/>
      <c r="E227" s="65">
        <f>88410.4/7.5345</f>
        <v>11734.076581060453</v>
      </c>
      <c r="F227" s="74">
        <f>24000/7.5345</f>
        <v>3185.3474019510249</v>
      </c>
      <c r="G227" s="74">
        <f>G225-G228</f>
        <v>4645.2999999999975</v>
      </c>
      <c r="H227" s="74">
        <v>1330</v>
      </c>
      <c r="I227" s="74">
        <v>1330</v>
      </c>
    </row>
    <row r="228" spans="1:9" x14ac:dyDescent="0.25">
      <c r="A228" s="58" t="s">
        <v>86</v>
      </c>
      <c r="B228" s="58"/>
      <c r="C228" s="58"/>
      <c r="D228" s="58"/>
      <c r="E228" s="65">
        <f>224000/7.5345</f>
        <v>29729.909084876235</v>
      </c>
      <c r="F228" s="74"/>
      <c r="G228" s="74">
        <v>13272.28</v>
      </c>
      <c r="H228" s="74"/>
      <c r="I228" s="74"/>
    </row>
    <row r="229" spans="1:9" x14ac:dyDescent="0.25">
      <c r="A229" s="219">
        <v>3</v>
      </c>
      <c r="B229" s="220"/>
      <c r="C229" s="221"/>
      <c r="D229" s="49" t="s">
        <v>26</v>
      </c>
      <c r="E229" s="51">
        <f>E230</f>
        <v>41463.985665936692</v>
      </c>
      <c r="F229" s="51">
        <f t="shared" ref="F229:I229" si="72">F230</f>
        <v>2256.2877430486428</v>
      </c>
      <c r="G229" s="51">
        <f t="shared" si="72"/>
        <v>1327.23</v>
      </c>
      <c r="H229" s="51">
        <f t="shared" si="72"/>
        <v>1330</v>
      </c>
      <c r="I229" s="51">
        <f t="shared" si="72"/>
        <v>1330</v>
      </c>
    </row>
    <row r="230" spans="1:9" x14ac:dyDescent="0.25">
      <c r="A230" s="216">
        <v>32</v>
      </c>
      <c r="B230" s="217"/>
      <c r="C230" s="218"/>
      <c r="D230" s="49" t="s">
        <v>43</v>
      </c>
      <c r="E230" s="51">
        <f>312410.4/7.5345</f>
        <v>41463.985665936692</v>
      </c>
      <c r="F230" s="64">
        <f>17000/7.5345</f>
        <v>2256.2877430486428</v>
      </c>
      <c r="G230" s="64">
        <v>1327.23</v>
      </c>
      <c r="H230" s="64">
        <v>1330</v>
      </c>
      <c r="I230" s="64">
        <v>1330</v>
      </c>
    </row>
    <row r="231" spans="1:9" ht="25.5" x14ac:dyDescent="0.25">
      <c r="A231" s="219">
        <v>4</v>
      </c>
      <c r="B231" s="220"/>
      <c r="C231" s="221"/>
      <c r="D231" s="49" t="s">
        <v>5</v>
      </c>
      <c r="E231" s="51"/>
      <c r="F231" s="64">
        <f>F232</f>
        <v>929.05965890238235</v>
      </c>
      <c r="G231" s="64">
        <f>G233</f>
        <v>16590.349999999999</v>
      </c>
      <c r="H231" s="64"/>
      <c r="I231" s="64"/>
    </row>
    <row r="232" spans="1:9" ht="25.5" x14ac:dyDescent="0.25">
      <c r="A232" s="216">
        <v>42</v>
      </c>
      <c r="B232" s="217"/>
      <c r="C232" s="218"/>
      <c r="D232" s="49" t="s">
        <v>153</v>
      </c>
      <c r="E232" s="51"/>
      <c r="F232" s="64">
        <f>7000/7.5345</f>
        <v>929.05965890238235</v>
      </c>
      <c r="G232" s="64"/>
      <c r="H232" s="64"/>
      <c r="I232" s="64"/>
    </row>
    <row r="233" spans="1:9" ht="25.5" x14ac:dyDescent="0.25">
      <c r="A233" s="157"/>
      <c r="B233" s="158"/>
      <c r="C233" s="158">
        <v>45</v>
      </c>
      <c r="D233" s="159" t="s">
        <v>180</v>
      </c>
      <c r="E233" s="51"/>
      <c r="F233" s="64"/>
      <c r="G233" s="64">
        <v>16590.349999999999</v>
      </c>
      <c r="H233" s="64"/>
      <c r="I233" s="64"/>
    </row>
    <row r="234" spans="1:9" ht="45.75" customHeight="1" x14ac:dyDescent="0.25">
      <c r="A234" s="256" t="s">
        <v>206</v>
      </c>
      <c r="B234" s="257"/>
      <c r="C234" s="257"/>
      <c r="D234" s="258"/>
      <c r="E234" s="79"/>
      <c r="F234" s="85">
        <f>F237</f>
        <v>11945.052757316344</v>
      </c>
      <c r="G234" s="85">
        <f t="shared" ref="G234:I234" si="73">G237</f>
        <v>19908.419999999998</v>
      </c>
      <c r="H234" s="85">
        <f t="shared" si="73"/>
        <v>0</v>
      </c>
      <c r="I234" s="85">
        <f t="shared" si="73"/>
        <v>0</v>
      </c>
    </row>
    <row r="235" spans="1:9" x14ac:dyDescent="0.25">
      <c r="A235" s="58" t="s">
        <v>84</v>
      </c>
      <c r="B235" s="58"/>
      <c r="C235" s="58"/>
      <c r="D235" s="58"/>
      <c r="E235" s="57"/>
      <c r="F235" s="74">
        <f>35000/7.5345</f>
        <v>4645.298294511912</v>
      </c>
      <c r="G235" s="74">
        <f>G234-G236</f>
        <v>12608.669999999998</v>
      </c>
      <c r="H235" s="74"/>
      <c r="I235" s="74"/>
    </row>
    <row r="236" spans="1:9" x14ac:dyDescent="0.25">
      <c r="A236" s="58" t="s">
        <v>86</v>
      </c>
      <c r="B236" s="58"/>
      <c r="C236" s="58"/>
      <c r="D236" s="58"/>
      <c r="E236" s="57"/>
      <c r="F236" s="74">
        <f>55000/7.5345</f>
        <v>7299.7544628044325</v>
      </c>
      <c r="G236" s="74">
        <v>7299.75</v>
      </c>
      <c r="H236" s="74"/>
      <c r="I236" s="74"/>
    </row>
    <row r="237" spans="1:9" ht="25.5" x14ac:dyDescent="0.25">
      <c r="A237" s="219">
        <v>4</v>
      </c>
      <c r="B237" s="220"/>
      <c r="C237" s="221"/>
      <c r="D237" s="49" t="s">
        <v>5</v>
      </c>
      <c r="E237" s="51"/>
      <c r="F237" s="64">
        <f>F238</f>
        <v>11945.052757316344</v>
      </c>
      <c r="G237" s="64">
        <f>G238</f>
        <v>19908.419999999998</v>
      </c>
      <c r="H237" s="64"/>
      <c r="I237" s="64"/>
    </row>
    <row r="238" spans="1:9" ht="25.5" x14ac:dyDescent="0.25">
      <c r="A238" s="216">
        <v>45</v>
      </c>
      <c r="B238" s="217"/>
      <c r="C238" s="218"/>
      <c r="D238" s="49" t="s">
        <v>180</v>
      </c>
      <c r="E238" s="51"/>
      <c r="F238" s="64">
        <f>90000/7.5345</f>
        <v>11945.052757316344</v>
      </c>
      <c r="G238" s="64">
        <v>19908.419999999998</v>
      </c>
      <c r="H238" s="64"/>
      <c r="I238" s="64"/>
    </row>
    <row r="239" spans="1:9" ht="45" customHeight="1" x14ac:dyDescent="0.25">
      <c r="A239" s="256" t="s">
        <v>207</v>
      </c>
      <c r="B239" s="257"/>
      <c r="C239" s="257"/>
      <c r="D239" s="258"/>
      <c r="E239" s="79"/>
      <c r="F239" s="85">
        <f>F241</f>
        <v>31853.474019510249</v>
      </c>
      <c r="G239" s="85">
        <f t="shared" ref="G239:I239" si="74">G241</f>
        <v>39816.839999999997</v>
      </c>
      <c r="H239" s="85">
        <f t="shared" si="74"/>
        <v>0</v>
      </c>
      <c r="I239" s="85">
        <f t="shared" si="74"/>
        <v>0</v>
      </c>
    </row>
    <row r="240" spans="1:9" x14ac:dyDescent="0.25">
      <c r="A240" s="58" t="s">
        <v>84</v>
      </c>
      <c r="B240" s="58"/>
      <c r="C240" s="58"/>
      <c r="D240" s="58"/>
      <c r="E240" s="57"/>
      <c r="F240" s="74">
        <f>240000/7.5345</f>
        <v>31853.474019510249</v>
      </c>
      <c r="G240" s="74">
        <v>39816.839999999997</v>
      </c>
      <c r="H240" s="74"/>
      <c r="I240" s="74"/>
    </row>
    <row r="241" spans="1:9" ht="25.5" x14ac:dyDescent="0.25">
      <c r="A241" s="219">
        <v>4</v>
      </c>
      <c r="B241" s="220"/>
      <c r="C241" s="221"/>
      <c r="D241" s="49" t="s">
        <v>5</v>
      </c>
      <c r="E241" s="51"/>
      <c r="F241" s="64">
        <f>F242</f>
        <v>31853.474019510249</v>
      </c>
      <c r="G241" s="64">
        <f>G242</f>
        <v>39816.839999999997</v>
      </c>
      <c r="H241" s="64"/>
      <c r="I241" s="64"/>
    </row>
    <row r="242" spans="1:9" ht="25.5" x14ac:dyDescent="0.25">
      <c r="A242" s="216">
        <v>45</v>
      </c>
      <c r="B242" s="217"/>
      <c r="C242" s="218"/>
      <c r="D242" s="49" t="s">
        <v>180</v>
      </c>
      <c r="E242" s="51"/>
      <c r="F242" s="64">
        <f>240000/7.5345</f>
        <v>31853.474019510249</v>
      </c>
      <c r="G242" s="64">
        <v>39816.839999999997</v>
      </c>
      <c r="H242" s="64"/>
      <c r="I242" s="64"/>
    </row>
    <row r="243" spans="1:9" x14ac:dyDescent="0.25">
      <c r="A243" s="82" t="s">
        <v>176</v>
      </c>
      <c r="B243" s="82"/>
      <c r="C243" s="82"/>
      <c r="D243" s="91"/>
      <c r="E243" s="89">
        <f>E245</f>
        <v>6990.3444156878359</v>
      </c>
      <c r="F243" s="80"/>
      <c r="G243" s="80"/>
      <c r="H243" s="80"/>
      <c r="I243" s="80"/>
    </row>
    <row r="244" spans="1:9" x14ac:dyDescent="0.25">
      <c r="A244" s="58" t="s">
        <v>84</v>
      </c>
      <c r="B244" s="58"/>
      <c r="C244" s="58"/>
      <c r="D244" s="54"/>
      <c r="E244" s="65">
        <f>E243</f>
        <v>6990.3444156878359</v>
      </c>
      <c r="F244" s="114"/>
      <c r="G244" s="114"/>
      <c r="H244" s="114"/>
      <c r="I244" s="114"/>
    </row>
    <row r="245" spans="1:9" x14ac:dyDescent="0.25">
      <c r="A245" s="219">
        <v>3</v>
      </c>
      <c r="B245" s="220"/>
      <c r="C245" s="221"/>
      <c r="D245" s="49" t="s">
        <v>26</v>
      </c>
      <c r="E245" s="51">
        <f>E246</f>
        <v>6990.3444156878359</v>
      </c>
      <c r="F245" s="64"/>
      <c r="G245" s="64"/>
      <c r="H245" s="64"/>
      <c r="I245" s="64"/>
    </row>
    <row r="246" spans="1:9" x14ac:dyDescent="0.25">
      <c r="A246" s="216">
        <v>32</v>
      </c>
      <c r="B246" s="217"/>
      <c r="C246" s="218"/>
      <c r="D246" s="49" t="s">
        <v>43</v>
      </c>
      <c r="E246" s="51">
        <f>52668.75/7.5345</f>
        <v>6990.3444156878359</v>
      </c>
      <c r="F246" s="64"/>
      <c r="G246" s="64"/>
      <c r="H246" s="64"/>
      <c r="I246" s="64"/>
    </row>
    <row r="247" spans="1:9" x14ac:dyDescent="0.25">
      <c r="A247" s="108" t="s">
        <v>116</v>
      </c>
      <c r="B247" s="108"/>
      <c r="C247" s="108"/>
      <c r="D247" s="108"/>
      <c r="E247" s="109">
        <f>E248+E255</f>
        <v>103196.86110558099</v>
      </c>
      <c r="F247" s="109">
        <f>F248+F255</f>
        <v>89295.905501360394</v>
      </c>
      <c r="G247" s="109">
        <f>G248+G255</f>
        <v>152631.23000000001</v>
      </c>
      <c r="H247" s="109">
        <f t="shared" ref="H247:I247" si="75">H248+H255</f>
        <v>15000</v>
      </c>
      <c r="I247" s="109">
        <f t="shared" si="75"/>
        <v>8000</v>
      </c>
    </row>
    <row r="248" spans="1:9" ht="15.75" x14ac:dyDescent="0.25">
      <c r="A248" s="307" t="s">
        <v>177</v>
      </c>
      <c r="B248" s="308"/>
      <c r="C248" s="308"/>
      <c r="D248" s="309"/>
      <c r="E248" s="90"/>
      <c r="F248" s="85">
        <f>F251+F253</f>
        <v>30698.785586303005</v>
      </c>
      <c r="G248" s="85">
        <f>G251+G253</f>
        <v>132722.81</v>
      </c>
      <c r="H248" s="85">
        <f t="shared" ref="H248:I248" si="76">H251+H253</f>
        <v>15000</v>
      </c>
      <c r="I248" s="85">
        <f t="shared" si="76"/>
        <v>0</v>
      </c>
    </row>
    <row r="249" spans="1:9" ht="15.75" x14ac:dyDescent="0.25">
      <c r="A249" s="58" t="s">
        <v>84</v>
      </c>
      <c r="B249" s="58"/>
      <c r="C249" s="58"/>
      <c r="D249" s="54"/>
      <c r="E249" s="115"/>
      <c r="F249" s="74">
        <f>231300/7.5345</f>
        <v>30698.785586303005</v>
      </c>
      <c r="G249" s="74"/>
      <c r="H249" s="74"/>
      <c r="I249" s="74"/>
    </row>
    <row r="250" spans="1:9" ht="15.75" x14ac:dyDescent="0.25">
      <c r="A250" s="58" t="s">
        <v>86</v>
      </c>
      <c r="B250" s="58"/>
      <c r="C250" s="58"/>
      <c r="D250" s="58"/>
      <c r="E250" s="115"/>
      <c r="F250" s="74"/>
      <c r="G250" s="74">
        <v>132722.81</v>
      </c>
      <c r="H250" s="74">
        <v>15000</v>
      </c>
      <c r="I250" s="74"/>
    </row>
    <row r="251" spans="1:9" ht="25.5" x14ac:dyDescent="0.25">
      <c r="A251" s="219">
        <v>4</v>
      </c>
      <c r="B251" s="220"/>
      <c r="C251" s="221"/>
      <c r="D251" s="49" t="s">
        <v>5</v>
      </c>
      <c r="E251" s="51"/>
      <c r="F251" s="64">
        <f>F252</f>
        <v>18581.193178047648</v>
      </c>
      <c r="G251" s="64">
        <f>G252</f>
        <v>132722.81</v>
      </c>
      <c r="H251" s="64">
        <f>H252</f>
        <v>15000</v>
      </c>
      <c r="I251" s="64"/>
    </row>
    <row r="252" spans="1:9" ht="25.5" x14ac:dyDescent="0.25">
      <c r="A252" s="216">
        <v>42</v>
      </c>
      <c r="B252" s="217"/>
      <c r="C252" s="218"/>
      <c r="D252" s="49" t="s">
        <v>153</v>
      </c>
      <c r="E252" s="51"/>
      <c r="F252" s="64">
        <f>140000/7.5345</f>
        <v>18581.193178047648</v>
      </c>
      <c r="G252" s="64">
        <v>132722.81</v>
      </c>
      <c r="H252" s="64">
        <v>15000</v>
      </c>
      <c r="I252" s="64"/>
    </row>
    <row r="253" spans="1:9" x14ac:dyDescent="0.25">
      <c r="A253" s="219">
        <v>3</v>
      </c>
      <c r="B253" s="220"/>
      <c r="C253" s="221"/>
      <c r="D253" s="49" t="s">
        <v>26</v>
      </c>
      <c r="E253" s="51"/>
      <c r="F253" s="64">
        <f>F254</f>
        <v>12117.592408255357</v>
      </c>
      <c r="G253" s="64"/>
      <c r="H253" s="64"/>
      <c r="I253" s="64"/>
    </row>
    <row r="254" spans="1:9" x14ac:dyDescent="0.25">
      <c r="A254" s="216">
        <v>32</v>
      </c>
      <c r="B254" s="217"/>
      <c r="C254" s="218"/>
      <c r="D254" s="49" t="s">
        <v>43</v>
      </c>
      <c r="E254" s="51"/>
      <c r="F254" s="64">
        <f>91300/7.5345</f>
        <v>12117.592408255357</v>
      </c>
      <c r="G254" s="64"/>
      <c r="H254" s="64"/>
      <c r="I254" s="64"/>
    </row>
    <row r="255" spans="1:9" x14ac:dyDescent="0.25">
      <c r="A255" s="229" t="s">
        <v>179</v>
      </c>
      <c r="B255" s="230"/>
      <c r="C255" s="230"/>
      <c r="D255" s="280"/>
      <c r="E255" s="234">
        <f>E261</f>
        <v>103196.86110558099</v>
      </c>
      <c r="F255" s="224">
        <f>F259+F261</f>
        <v>58597.119915057396</v>
      </c>
      <c r="G255" s="224">
        <f t="shared" ref="G255:I255" si="77">G259+G261</f>
        <v>19908.420000000002</v>
      </c>
      <c r="H255" s="224">
        <f t="shared" si="77"/>
        <v>0</v>
      </c>
      <c r="I255" s="224">
        <f t="shared" si="77"/>
        <v>8000</v>
      </c>
    </row>
    <row r="256" spans="1:9" x14ac:dyDescent="0.25">
      <c r="A256" s="86" t="s">
        <v>178</v>
      </c>
      <c r="B256" s="87"/>
      <c r="C256" s="87"/>
      <c r="D256" s="87"/>
      <c r="E256" s="235"/>
      <c r="F256" s="225"/>
      <c r="G256" s="225"/>
      <c r="H256" s="225"/>
      <c r="I256" s="225"/>
    </row>
    <row r="257" spans="1:9" x14ac:dyDescent="0.25">
      <c r="A257" s="58" t="s">
        <v>86</v>
      </c>
      <c r="B257" s="58"/>
      <c r="C257" s="58"/>
      <c r="D257" s="58"/>
      <c r="E257" s="65">
        <f>396180.5/7.5345</f>
        <v>52582.188599110756</v>
      </c>
      <c r="F257" s="74">
        <f>90000/7.5345</f>
        <v>11945.052757316344</v>
      </c>
      <c r="G257" s="74">
        <v>19908.419999999998</v>
      </c>
      <c r="H257" s="74"/>
      <c r="I257" s="74">
        <v>8000</v>
      </c>
    </row>
    <row r="258" spans="1:9" x14ac:dyDescent="0.25">
      <c r="A258" s="55" t="s">
        <v>109</v>
      </c>
      <c r="B258" s="55"/>
      <c r="C258" s="55"/>
      <c r="D258" s="55"/>
      <c r="E258" s="65">
        <f>381356.25/7.5345</f>
        <v>50614.672506470233</v>
      </c>
      <c r="F258" s="74">
        <f>351500/7.5345</f>
        <v>46652.067157741054</v>
      </c>
      <c r="G258" s="74"/>
      <c r="H258" s="74"/>
      <c r="I258" s="74"/>
    </row>
    <row r="259" spans="1:9" x14ac:dyDescent="0.25">
      <c r="A259" s="219">
        <v>3</v>
      </c>
      <c r="B259" s="220"/>
      <c r="C259" s="221"/>
      <c r="D259" s="49" t="s">
        <v>26</v>
      </c>
      <c r="E259" s="116"/>
      <c r="F259" s="64">
        <f>F260</f>
        <v>199.08421262193906</v>
      </c>
      <c r="G259" s="64">
        <f t="shared" ref="G259:I259" si="78">G260</f>
        <v>6636.14</v>
      </c>
      <c r="H259" s="64">
        <f t="shared" si="78"/>
        <v>0</v>
      </c>
      <c r="I259" s="64">
        <f t="shared" si="78"/>
        <v>0</v>
      </c>
    </row>
    <row r="260" spans="1:9" x14ac:dyDescent="0.25">
      <c r="A260" s="226">
        <v>32</v>
      </c>
      <c r="B260" s="227"/>
      <c r="C260" s="228"/>
      <c r="D260" s="117" t="s">
        <v>43</v>
      </c>
      <c r="E260" s="116"/>
      <c r="F260" s="64">
        <f>1500/7.5345</f>
        <v>199.08421262193906</v>
      </c>
      <c r="G260" s="64">
        <v>6636.14</v>
      </c>
      <c r="H260" s="64"/>
      <c r="I260" s="64"/>
    </row>
    <row r="261" spans="1:9" ht="25.5" x14ac:dyDescent="0.25">
      <c r="A261" s="219">
        <v>4</v>
      </c>
      <c r="B261" s="220"/>
      <c r="C261" s="221"/>
      <c r="D261" s="49" t="s">
        <v>5</v>
      </c>
      <c r="E261" s="51">
        <f>E262+E263</f>
        <v>103196.86110558099</v>
      </c>
      <c r="F261" s="64">
        <f>F262+F263</f>
        <v>58398.03570243546</v>
      </c>
      <c r="G261" s="64">
        <f t="shared" ref="G261:I261" si="79">G262+G263</f>
        <v>13272.28</v>
      </c>
      <c r="H261" s="64">
        <f t="shared" si="79"/>
        <v>0</v>
      </c>
      <c r="I261" s="64">
        <f t="shared" si="79"/>
        <v>8000</v>
      </c>
    </row>
    <row r="262" spans="1:9" ht="25.5" x14ac:dyDescent="0.25">
      <c r="A262" s="216">
        <v>42</v>
      </c>
      <c r="B262" s="217"/>
      <c r="C262" s="218"/>
      <c r="D262" s="49" t="s">
        <v>153</v>
      </c>
      <c r="E262" s="51">
        <f>13785.4/7.5345</f>
        <v>1829.6370031189858</v>
      </c>
      <c r="F262" s="64">
        <f>5000/7.5345</f>
        <v>663.61404207313024</v>
      </c>
      <c r="G262" s="64"/>
      <c r="H262" s="64"/>
      <c r="I262" s="64">
        <v>8000</v>
      </c>
    </row>
    <row r="263" spans="1:9" ht="29.25" x14ac:dyDescent="0.25">
      <c r="A263" s="216">
        <v>45</v>
      </c>
      <c r="B263" s="217"/>
      <c r="C263" s="218"/>
      <c r="D263" s="164" t="s">
        <v>180</v>
      </c>
      <c r="E263" s="51">
        <f>763751.35/7.5345</f>
        <v>101367.224102462</v>
      </c>
      <c r="F263" s="64">
        <f>435000/7.5345</f>
        <v>57734.421660362328</v>
      </c>
      <c r="G263" s="64">
        <v>13272.28</v>
      </c>
      <c r="H263" s="64"/>
      <c r="I263" s="64"/>
    </row>
    <row r="264" spans="1:9" x14ac:dyDescent="0.25">
      <c r="A264" s="122" t="s">
        <v>117</v>
      </c>
      <c r="B264" s="122"/>
      <c r="C264" s="122"/>
      <c r="D264" s="122"/>
      <c r="E264" s="123">
        <f>E265+E276+E282+E288</f>
        <v>161971.22569513568</v>
      </c>
      <c r="F264" s="123">
        <f t="shared" ref="F264:I264" si="80">F265+F276+F282+F288</f>
        <v>209281.96960647687</v>
      </c>
      <c r="G264" s="123">
        <f t="shared" si="80"/>
        <v>227447.08000000002</v>
      </c>
      <c r="H264" s="123">
        <f t="shared" si="80"/>
        <v>209130</v>
      </c>
      <c r="I264" s="123">
        <f t="shared" si="80"/>
        <v>210954.93</v>
      </c>
    </row>
    <row r="265" spans="1:9" x14ac:dyDescent="0.25">
      <c r="A265" s="101" t="s">
        <v>118</v>
      </c>
      <c r="B265" s="101"/>
      <c r="C265" s="101"/>
      <c r="D265" s="101"/>
      <c r="E265" s="104">
        <f>E266</f>
        <v>150717.65876965952</v>
      </c>
      <c r="F265" s="104">
        <f t="shared" ref="F265:I265" si="81">F266</f>
        <v>194018.84663879484</v>
      </c>
      <c r="G265" s="104">
        <f t="shared" si="81"/>
        <v>208865.88</v>
      </c>
      <c r="H265" s="104">
        <f t="shared" si="81"/>
        <v>189130</v>
      </c>
      <c r="I265" s="104">
        <f t="shared" si="81"/>
        <v>190954.93</v>
      </c>
    </row>
    <row r="266" spans="1:9" x14ac:dyDescent="0.25">
      <c r="A266" s="76" t="s">
        <v>119</v>
      </c>
      <c r="B266" s="77"/>
      <c r="C266" s="77"/>
      <c r="D266" s="77"/>
      <c r="E266" s="78">
        <f>E270+E274</f>
        <v>150717.65876965952</v>
      </c>
      <c r="F266" s="78">
        <f t="shared" ref="F266:I266" si="82">F270+F274</f>
        <v>194018.84663879484</v>
      </c>
      <c r="G266" s="78">
        <f t="shared" si="82"/>
        <v>208865.88</v>
      </c>
      <c r="H266" s="78">
        <f t="shared" si="82"/>
        <v>189130</v>
      </c>
      <c r="I266" s="78">
        <f t="shared" si="82"/>
        <v>190954.93</v>
      </c>
    </row>
    <row r="267" spans="1:9" x14ac:dyDescent="0.25">
      <c r="A267" s="118" t="s">
        <v>120</v>
      </c>
      <c r="B267" s="119"/>
      <c r="C267" s="119"/>
      <c r="D267" s="119"/>
      <c r="E267" s="119"/>
      <c r="F267" s="120"/>
      <c r="G267" s="120"/>
      <c r="H267" s="120"/>
      <c r="I267" s="120"/>
    </row>
    <row r="268" spans="1:9" x14ac:dyDescent="0.25">
      <c r="A268" s="58" t="s">
        <v>86</v>
      </c>
      <c r="B268" s="58"/>
      <c r="C268" s="58"/>
      <c r="D268" s="58"/>
      <c r="E268" s="65">
        <f>1920/7.5345</f>
        <v>254.82779215608201</v>
      </c>
      <c r="F268" s="74">
        <f>2150/7.5345</f>
        <v>285.354038091446</v>
      </c>
      <c r="G268" s="74">
        <f>29199.02+265.45</f>
        <v>29464.47</v>
      </c>
      <c r="H268" s="74">
        <v>29460</v>
      </c>
      <c r="I268" s="74">
        <v>29465</v>
      </c>
    </row>
    <row r="269" spans="1:9" x14ac:dyDescent="0.25">
      <c r="A269" s="55" t="s">
        <v>109</v>
      </c>
      <c r="B269" s="55"/>
      <c r="C269" s="55"/>
      <c r="D269" s="55"/>
      <c r="E269" s="67">
        <f>1133662.2/7.5345</f>
        <v>150462.83097750347</v>
      </c>
      <c r="F269" s="74">
        <f>1459685/7.5345</f>
        <v>193733.49260070341</v>
      </c>
      <c r="G269" s="74">
        <f>G266-G268</f>
        <v>179401.41</v>
      </c>
      <c r="H269" s="74">
        <f>H266-H268</f>
        <v>159670</v>
      </c>
      <c r="I269" s="74">
        <f>I266-I268</f>
        <v>161489.93</v>
      </c>
    </row>
    <row r="270" spans="1:9" x14ac:dyDescent="0.25">
      <c r="A270" s="219">
        <v>3</v>
      </c>
      <c r="B270" s="220"/>
      <c r="C270" s="221"/>
      <c r="D270" s="49" t="s">
        <v>26</v>
      </c>
      <c r="E270" s="51">
        <f>E271+E272+E273</f>
        <v>149869.36093967746</v>
      </c>
      <c r="F270" s="51">
        <f t="shared" ref="F270:I270" si="83">F271+F272+F273</f>
        <v>189838.07817373413</v>
      </c>
      <c r="G270" s="51">
        <f t="shared" si="83"/>
        <v>206476.87</v>
      </c>
      <c r="H270" s="51">
        <f t="shared" si="83"/>
        <v>188731.83</v>
      </c>
      <c r="I270" s="51">
        <f t="shared" si="83"/>
        <v>190291.32</v>
      </c>
    </row>
    <row r="271" spans="1:9" x14ac:dyDescent="0.25">
      <c r="A271" s="216">
        <v>31</v>
      </c>
      <c r="B271" s="217"/>
      <c r="C271" s="218"/>
      <c r="D271" s="49" t="s">
        <v>29</v>
      </c>
      <c r="E271" s="51">
        <f>860207.82/7.5345</f>
        <v>114169.19769062311</v>
      </c>
      <c r="F271" s="64">
        <f>1113035/7.5345</f>
        <v>147725.1310637733</v>
      </c>
      <c r="G271" s="64">
        <v>162120.91</v>
      </c>
      <c r="H271" s="64">
        <v>147985.93</v>
      </c>
      <c r="I271" s="64">
        <v>148118.65</v>
      </c>
    </row>
    <row r="272" spans="1:9" x14ac:dyDescent="0.25">
      <c r="A272" s="216">
        <v>32</v>
      </c>
      <c r="B272" s="217"/>
      <c r="C272" s="218"/>
      <c r="D272" s="49" t="s">
        <v>43</v>
      </c>
      <c r="E272" s="51">
        <f>263124.14/7.5345</f>
        <v>34922.574822483242</v>
      </c>
      <c r="F272" s="64">
        <f>310550/7.5345</f>
        <v>41217.068153162116</v>
      </c>
      <c r="G272" s="64">
        <v>43426.9</v>
      </c>
      <c r="H272" s="64">
        <v>39816.839999999997</v>
      </c>
      <c r="I272" s="64">
        <v>41144.07</v>
      </c>
    </row>
    <row r="273" spans="1:9" x14ac:dyDescent="0.25">
      <c r="A273" s="216">
        <v>34</v>
      </c>
      <c r="B273" s="217"/>
      <c r="C273" s="218"/>
      <c r="D273" s="49" t="s">
        <v>181</v>
      </c>
      <c r="E273" s="51">
        <f>5858.74/7.5345</f>
        <v>777.5884265711062</v>
      </c>
      <c r="F273" s="64">
        <f>6750/7.5345</f>
        <v>895.87895679872577</v>
      </c>
      <c r="G273" s="64">
        <v>929.06</v>
      </c>
      <c r="H273" s="64">
        <v>929.06</v>
      </c>
      <c r="I273" s="64">
        <v>1028.5999999999999</v>
      </c>
    </row>
    <row r="274" spans="1:9" ht="25.5" x14ac:dyDescent="0.25">
      <c r="A274" s="219">
        <v>4</v>
      </c>
      <c r="B274" s="220"/>
      <c r="C274" s="221"/>
      <c r="D274" s="49" t="s">
        <v>5</v>
      </c>
      <c r="E274" s="51">
        <f>E275</f>
        <v>848.29782998208236</v>
      </c>
      <c r="F274" s="51">
        <f t="shared" ref="F274:I274" si="84">F275</f>
        <v>4180.7684650607207</v>
      </c>
      <c r="G274" s="51">
        <f t="shared" si="84"/>
        <v>2389.0100000000002</v>
      </c>
      <c r="H274" s="51">
        <f t="shared" si="84"/>
        <v>398.17</v>
      </c>
      <c r="I274" s="51">
        <f t="shared" si="84"/>
        <v>663.61</v>
      </c>
    </row>
    <row r="275" spans="1:9" ht="25.5" x14ac:dyDescent="0.25">
      <c r="A275" s="216">
        <v>42</v>
      </c>
      <c r="B275" s="217"/>
      <c r="C275" s="218"/>
      <c r="D275" s="49" t="s">
        <v>153</v>
      </c>
      <c r="E275" s="51">
        <f>6391.5/7.5345</f>
        <v>848.29782998208236</v>
      </c>
      <c r="F275" s="64">
        <f>31500/7.5345</f>
        <v>4180.7684650607207</v>
      </c>
      <c r="G275" s="64">
        <v>2389.0100000000002</v>
      </c>
      <c r="H275" s="64">
        <v>398.17</v>
      </c>
      <c r="I275" s="64">
        <v>663.61</v>
      </c>
    </row>
    <row r="276" spans="1:9" x14ac:dyDescent="0.25">
      <c r="A276" s="53" t="s">
        <v>121</v>
      </c>
      <c r="B276" s="101"/>
      <c r="C276" s="101"/>
      <c r="D276" s="101"/>
      <c r="E276" s="104">
        <f>E277</f>
        <v>3389.7405269095493</v>
      </c>
      <c r="F276" s="104">
        <f t="shared" ref="F276:I276" si="85">F277</f>
        <v>5308.9123365850419</v>
      </c>
      <c r="G276" s="104">
        <f t="shared" si="85"/>
        <v>3981.69</v>
      </c>
      <c r="H276" s="104">
        <f>H277</f>
        <v>4000</v>
      </c>
      <c r="I276" s="104">
        <f t="shared" si="85"/>
        <v>4000</v>
      </c>
    </row>
    <row r="277" spans="1:9" x14ac:dyDescent="0.25">
      <c r="A277" s="229" t="s">
        <v>122</v>
      </c>
      <c r="B277" s="230"/>
      <c r="C277" s="230"/>
      <c r="D277" s="230"/>
      <c r="E277" s="214">
        <f>E280</f>
        <v>3389.7405269095493</v>
      </c>
      <c r="F277" s="214">
        <f t="shared" ref="F277:I277" si="86">F280</f>
        <v>5308.9123365850419</v>
      </c>
      <c r="G277" s="214">
        <f t="shared" si="86"/>
        <v>3981.69</v>
      </c>
      <c r="H277" s="214">
        <f t="shared" si="86"/>
        <v>4000</v>
      </c>
      <c r="I277" s="214">
        <f t="shared" si="86"/>
        <v>4000</v>
      </c>
    </row>
    <row r="278" spans="1:9" x14ac:dyDescent="0.25">
      <c r="A278" s="231" t="s">
        <v>123</v>
      </c>
      <c r="B278" s="232"/>
      <c r="C278" s="232"/>
      <c r="D278" s="233"/>
      <c r="E278" s="215"/>
      <c r="F278" s="215"/>
      <c r="G278" s="215"/>
      <c r="H278" s="215"/>
      <c r="I278" s="215"/>
    </row>
    <row r="279" spans="1:9" x14ac:dyDescent="0.25">
      <c r="A279" s="58" t="s">
        <v>109</v>
      </c>
      <c r="B279" s="58"/>
      <c r="C279" s="58"/>
      <c r="D279" s="58"/>
      <c r="E279" s="67">
        <f>E277</f>
        <v>3389.7405269095493</v>
      </c>
      <c r="F279" s="74">
        <f>40000/7.5345</f>
        <v>5308.9123365850419</v>
      </c>
      <c r="G279" s="74">
        <v>3981.69</v>
      </c>
      <c r="H279" s="74">
        <v>4000</v>
      </c>
      <c r="I279" s="74">
        <v>4000</v>
      </c>
    </row>
    <row r="280" spans="1:9" x14ac:dyDescent="0.25">
      <c r="A280" s="219">
        <v>3</v>
      </c>
      <c r="B280" s="220"/>
      <c r="C280" s="221"/>
      <c r="D280" s="49" t="s">
        <v>26</v>
      </c>
      <c r="E280" s="51">
        <f>E281</f>
        <v>3389.7405269095493</v>
      </c>
      <c r="F280" s="51">
        <f t="shared" ref="F280:I280" si="87">F281</f>
        <v>5308.9123365850419</v>
      </c>
      <c r="G280" s="51">
        <f t="shared" si="87"/>
        <v>3981.69</v>
      </c>
      <c r="H280" s="51">
        <f t="shared" si="87"/>
        <v>4000</v>
      </c>
      <c r="I280" s="51">
        <f t="shared" si="87"/>
        <v>4000</v>
      </c>
    </row>
    <row r="281" spans="1:9" ht="25.5" x14ac:dyDescent="0.25">
      <c r="A281" s="216">
        <v>36</v>
      </c>
      <c r="B281" s="217"/>
      <c r="C281" s="218"/>
      <c r="D281" s="49" t="s">
        <v>62</v>
      </c>
      <c r="E281" s="51">
        <f>25540/7.5345</f>
        <v>3389.7405269095493</v>
      </c>
      <c r="F281" s="64">
        <f>40000/7.5345</f>
        <v>5308.9123365850419</v>
      </c>
      <c r="G281" s="64">
        <v>3981.69</v>
      </c>
      <c r="H281" s="64">
        <v>4000</v>
      </c>
      <c r="I281" s="64">
        <v>4000</v>
      </c>
    </row>
    <row r="282" spans="1:9" x14ac:dyDescent="0.25">
      <c r="A282" s="285" t="s">
        <v>124</v>
      </c>
      <c r="B282" s="286"/>
      <c r="C282" s="286"/>
      <c r="D282" s="315"/>
      <c r="E282" s="104">
        <f>E283</f>
        <v>2687.6368703961775</v>
      </c>
      <c r="F282" s="104">
        <f t="shared" ref="F282:I282" si="88">F283</f>
        <v>4645.298294511912</v>
      </c>
      <c r="G282" s="104">
        <f t="shared" si="88"/>
        <v>3318.07</v>
      </c>
      <c r="H282" s="104">
        <f t="shared" si="88"/>
        <v>4000</v>
      </c>
      <c r="I282" s="104">
        <f t="shared" si="88"/>
        <v>4000</v>
      </c>
    </row>
    <row r="283" spans="1:9" x14ac:dyDescent="0.25">
      <c r="A283" s="316" t="s">
        <v>212</v>
      </c>
      <c r="B283" s="317"/>
      <c r="C283" s="317"/>
      <c r="D283" s="318"/>
      <c r="E283" s="214">
        <f>E286</f>
        <v>2687.6368703961775</v>
      </c>
      <c r="F283" s="214">
        <f t="shared" ref="F283:I283" si="89">F286</f>
        <v>4645.298294511912</v>
      </c>
      <c r="G283" s="214">
        <f t="shared" si="89"/>
        <v>3318.07</v>
      </c>
      <c r="H283" s="214">
        <f t="shared" si="89"/>
        <v>4000</v>
      </c>
      <c r="I283" s="214">
        <f t="shared" si="89"/>
        <v>4000</v>
      </c>
    </row>
    <row r="284" spans="1:9" x14ac:dyDescent="0.25">
      <c r="A284" s="231" t="s">
        <v>125</v>
      </c>
      <c r="B284" s="232"/>
      <c r="C284" s="232"/>
      <c r="D284" s="232"/>
      <c r="E284" s="215"/>
      <c r="F284" s="215"/>
      <c r="G284" s="215"/>
      <c r="H284" s="215"/>
      <c r="I284" s="215"/>
    </row>
    <row r="285" spans="1:9" x14ac:dyDescent="0.25">
      <c r="A285" s="58" t="s">
        <v>109</v>
      </c>
      <c r="B285" s="58"/>
      <c r="C285" s="58"/>
      <c r="D285" s="58"/>
      <c r="E285" s="65">
        <f>E283</f>
        <v>2687.6368703961775</v>
      </c>
      <c r="F285" s="74">
        <f>35000/7.5345</f>
        <v>4645.298294511912</v>
      </c>
      <c r="G285" s="74">
        <v>3318.07</v>
      </c>
      <c r="H285" s="74">
        <v>4000</v>
      </c>
      <c r="I285" s="74">
        <v>4000</v>
      </c>
    </row>
    <row r="286" spans="1:9" x14ac:dyDescent="0.25">
      <c r="A286" s="219">
        <v>3</v>
      </c>
      <c r="B286" s="220"/>
      <c r="C286" s="221"/>
      <c r="D286" s="49" t="s">
        <v>26</v>
      </c>
      <c r="E286" s="51">
        <f>E287</f>
        <v>2687.6368703961775</v>
      </c>
      <c r="F286" s="51">
        <f t="shared" ref="F286:I286" si="90">F287</f>
        <v>4645.298294511912</v>
      </c>
      <c r="G286" s="51">
        <f t="shared" si="90"/>
        <v>3318.07</v>
      </c>
      <c r="H286" s="51">
        <f t="shared" si="90"/>
        <v>4000</v>
      </c>
      <c r="I286" s="51">
        <f t="shared" si="90"/>
        <v>4000</v>
      </c>
    </row>
    <row r="287" spans="1:9" ht="38.25" x14ac:dyDescent="0.25">
      <c r="A287" s="216">
        <v>37</v>
      </c>
      <c r="B287" s="217"/>
      <c r="C287" s="218"/>
      <c r="D287" s="49" t="s">
        <v>63</v>
      </c>
      <c r="E287" s="51">
        <f>20250/7.5345</f>
        <v>2687.6368703961775</v>
      </c>
      <c r="F287" s="64">
        <f>35000/7.5345</f>
        <v>4645.298294511912</v>
      </c>
      <c r="G287" s="64">
        <v>3318.07</v>
      </c>
      <c r="H287" s="64">
        <v>4000</v>
      </c>
      <c r="I287" s="64">
        <v>4000</v>
      </c>
    </row>
    <row r="288" spans="1:9" x14ac:dyDescent="0.25">
      <c r="A288" s="101" t="s">
        <v>126</v>
      </c>
      <c r="B288" s="101"/>
      <c r="C288" s="101"/>
      <c r="D288" s="101"/>
      <c r="E288" s="104">
        <f>E289</f>
        <v>5176.1895281704155</v>
      </c>
      <c r="F288" s="104">
        <f t="shared" ref="F288:I288" si="91">F289</f>
        <v>5308.9123365850419</v>
      </c>
      <c r="G288" s="104">
        <f t="shared" si="91"/>
        <v>11281.44</v>
      </c>
      <c r="H288" s="104">
        <f t="shared" si="91"/>
        <v>12000</v>
      </c>
      <c r="I288" s="104">
        <f t="shared" si="91"/>
        <v>12000</v>
      </c>
    </row>
    <row r="289" spans="1:9" x14ac:dyDescent="0.25">
      <c r="A289" s="76" t="s">
        <v>127</v>
      </c>
      <c r="B289" s="77"/>
      <c r="C289" s="77"/>
      <c r="D289" s="77"/>
      <c r="E289" s="88">
        <f>E291</f>
        <v>5176.1895281704155</v>
      </c>
      <c r="F289" s="88">
        <f t="shared" ref="F289:I289" si="92">F291</f>
        <v>5308.9123365850419</v>
      </c>
      <c r="G289" s="88">
        <f t="shared" si="92"/>
        <v>11281.44</v>
      </c>
      <c r="H289" s="88">
        <f t="shared" si="92"/>
        <v>12000</v>
      </c>
      <c r="I289" s="88">
        <f t="shared" si="92"/>
        <v>12000</v>
      </c>
    </row>
    <row r="290" spans="1:9" x14ac:dyDescent="0.25">
      <c r="A290" s="58" t="s">
        <v>109</v>
      </c>
      <c r="B290" s="58"/>
      <c r="C290" s="58"/>
      <c r="D290" s="54"/>
      <c r="E290" s="65">
        <f>E289</f>
        <v>5176.1895281704155</v>
      </c>
      <c r="F290" s="74">
        <f>40000/7.5345</f>
        <v>5308.9123365850419</v>
      </c>
      <c r="G290" s="74">
        <v>11281.44</v>
      </c>
      <c r="H290" s="74">
        <v>12000</v>
      </c>
      <c r="I290" s="74">
        <v>12000</v>
      </c>
    </row>
    <row r="291" spans="1:9" x14ac:dyDescent="0.25">
      <c r="A291" s="219">
        <v>3</v>
      </c>
      <c r="B291" s="220"/>
      <c r="C291" s="221"/>
      <c r="D291" s="49" t="s">
        <v>26</v>
      </c>
      <c r="E291" s="51">
        <f>E292</f>
        <v>5176.1895281704155</v>
      </c>
      <c r="F291" s="51">
        <f t="shared" ref="F291:I291" si="93">F292</f>
        <v>5308.9123365850419</v>
      </c>
      <c r="G291" s="51">
        <f t="shared" si="93"/>
        <v>11281.44</v>
      </c>
      <c r="H291" s="51">
        <f t="shared" si="93"/>
        <v>12000</v>
      </c>
      <c r="I291" s="51">
        <f t="shared" si="93"/>
        <v>12000</v>
      </c>
    </row>
    <row r="292" spans="1:9" ht="38.25" x14ac:dyDescent="0.25">
      <c r="A292" s="216">
        <v>37</v>
      </c>
      <c r="B292" s="217"/>
      <c r="C292" s="218"/>
      <c r="D292" s="49" t="s">
        <v>63</v>
      </c>
      <c r="E292" s="51">
        <f>39000/7.5345</f>
        <v>5176.1895281704155</v>
      </c>
      <c r="F292" s="64">
        <f>40000/7.5345</f>
        <v>5308.9123365850419</v>
      </c>
      <c r="G292" s="64">
        <v>11281.44</v>
      </c>
      <c r="H292" s="64">
        <v>12000</v>
      </c>
      <c r="I292" s="64">
        <v>12000</v>
      </c>
    </row>
    <row r="293" spans="1:9" x14ac:dyDescent="0.25">
      <c r="A293" s="124" t="s">
        <v>128</v>
      </c>
      <c r="B293" s="124"/>
      <c r="C293" s="124"/>
      <c r="D293" s="124"/>
      <c r="E293" s="313">
        <f>E295+E302</f>
        <v>30155.825867675358</v>
      </c>
      <c r="F293" s="313">
        <f t="shared" ref="F293:I293" si="94">F295+F302</f>
        <v>30791.691552193242</v>
      </c>
      <c r="G293" s="313">
        <f t="shared" si="94"/>
        <v>30791.690000000002</v>
      </c>
      <c r="H293" s="313">
        <f t="shared" si="94"/>
        <v>33900</v>
      </c>
      <c r="I293" s="313">
        <f t="shared" si="94"/>
        <v>34000</v>
      </c>
    </row>
    <row r="294" spans="1:9" x14ac:dyDescent="0.25">
      <c r="A294" s="310" t="s">
        <v>129</v>
      </c>
      <c r="B294" s="311"/>
      <c r="C294" s="311"/>
      <c r="D294" s="312"/>
      <c r="E294" s="314"/>
      <c r="F294" s="314"/>
      <c r="G294" s="314"/>
      <c r="H294" s="314"/>
      <c r="I294" s="314"/>
    </row>
    <row r="295" spans="1:9" x14ac:dyDescent="0.25">
      <c r="A295" s="101" t="s">
        <v>130</v>
      </c>
      <c r="B295" s="101"/>
      <c r="C295" s="101"/>
      <c r="D295" s="101"/>
      <c r="E295" s="104">
        <f>E296</f>
        <v>27810.136040878624</v>
      </c>
      <c r="F295" s="104">
        <f t="shared" ref="F295:I295" si="95">F296</f>
        <v>27871.78976707147</v>
      </c>
      <c r="G295" s="104">
        <f t="shared" si="95"/>
        <v>27871.79</v>
      </c>
      <c r="H295" s="104">
        <f t="shared" si="95"/>
        <v>31000</v>
      </c>
      <c r="I295" s="104">
        <f t="shared" si="95"/>
        <v>31000</v>
      </c>
    </row>
    <row r="296" spans="1:9" ht="30.75" customHeight="1" x14ac:dyDescent="0.25">
      <c r="A296" s="292" t="s">
        <v>182</v>
      </c>
      <c r="B296" s="293"/>
      <c r="C296" s="293"/>
      <c r="D296" s="294"/>
      <c r="E296" s="81">
        <f>E299</f>
        <v>27810.136040878624</v>
      </c>
      <c r="F296" s="81">
        <f>F299</f>
        <v>27871.78976707147</v>
      </c>
      <c r="G296" s="81">
        <f t="shared" ref="G296:I296" si="96">G299</f>
        <v>27871.79</v>
      </c>
      <c r="H296" s="81">
        <f t="shared" si="96"/>
        <v>31000</v>
      </c>
      <c r="I296" s="81">
        <f t="shared" si="96"/>
        <v>31000</v>
      </c>
    </row>
    <row r="297" spans="1:9" x14ac:dyDescent="0.25">
      <c r="A297" s="58" t="s">
        <v>109</v>
      </c>
      <c r="B297" s="58"/>
      <c r="C297" s="58"/>
      <c r="D297" s="58"/>
      <c r="E297" s="65">
        <f>110208.77/7.5345</f>
        <v>14627.217466321586</v>
      </c>
      <c r="F297" s="74">
        <f>110000/7.5345</f>
        <v>14599.508925608865</v>
      </c>
      <c r="G297" s="74">
        <f>G296-G298</f>
        <v>13272.28</v>
      </c>
      <c r="H297" s="74">
        <f>H296-H298</f>
        <v>13300</v>
      </c>
      <c r="I297" s="74">
        <f>I296-I298</f>
        <v>13300</v>
      </c>
    </row>
    <row r="298" spans="1:9" x14ac:dyDescent="0.25">
      <c r="A298" s="58" t="s">
        <v>97</v>
      </c>
      <c r="B298" s="58"/>
      <c r="C298" s="58"/>
      <c r="D298" s="58"/>
      <c r="E298" s="65">
        <f>99326.7/7.5345</f>
        <v>13182.918574557036</v>
      </c>
      <c r="F298" s="74">
        <f>100000/7.5345</f>
        <v>13272.280841462605</v>
      </c>
      <c r="G298" s="74">
        <v>14599.51</v>
      </c>
      <c r="H298" s="74">
        <v>17700</v>
      </c>
      <c r="I298" s="74">
        <v>17700</v>
      </c>
    </row>
    <row r="299" spans="1:9" x14ac:dyDescent="0.25">
      <c r="A299" s="219">
        <v>3</v>
      </c>
      <c r="B299" s="220"/>
      <c r="C299" s="221"/>
      <c r="D299" s="49" t="s">
        <v>26</v>
      </c>
      <c r="E299" s="64">
        <f>E300+E301</f>
        <v>27810.136040878624</v>
      </c>
      <c r="F299" s="64">
        <f>F300+F301</f>
        <v>27871.78976707147</v>
      </c>
      <c r="G299" s="64">
        <f t="shared" ref="G299:I299" si="97">G300+G301</f>
        <v>27871.79</v>
      </c>
      <c r="H299" s="64">
        <f t="shared" si="97"/>
        <v>31000</v>
      </c>
      <c r="I299" s="64">
        <f t="shared" si="97"/>
        <v>31000</v>
      </c>
    </row>
    <row r="300" spans="1:9" ht="25.5" x14ac:dyDescent="0.25">
      <c r="A300" s="216">
        <v>36</v>
      </c>
      <c r="B300" s="217"/>
      <c r="C300" s="218"/>
      <c r="D300" s="49" t="s">
        <v>62</v>
      </c>
      <c r="E300" s="64">
        <f>109535.47/7.5345</f>
        <v>14537.855199416019</v>
      </c>
      <c r="F300" s="64">
        <f>110000/7.5345</f>
        <v>14599.508925608865</v>
      </c>
      <c r="G300" s="64">
        <v>14599.51</v>
      </c>
      <c r="H300" s="64">
        <v>17700</v>
      </c>
      <c r="I300" s="64">
        <v>17700</v>
      </c>
    </row>
    <row r="301" spans="1:9" x14ac:dyDescent="0.25">
      <c r="A301" s="216">
        <v>38</v>
      </c>
      <c r="B301" s="217"/>
      <c r="C301" s="218"/>
      <c r="D301" s="49" t="s">
        <v>64</v>
      </c>
      <c r="E301" s="64">
        <f>100000/7.5345</f>
        <v>13272.280841462605</v>
      </c>
      <c r="F301" s="64">
        <f>100000/7.5345</f>
        <v>13272.280841462605</v>
      </c>
      <c r="G301" s="64">
        <v>13272.28</v>
      </c>
      <c r="H301" s="64">
        <v>13300</v>
      </c>
      <c r="I301" s="64">
        <v>13300</v>
      </c>
    </row>
    <row r="302" spans="1:9" x14ac:dyDescent="0.25">
      <c r="A302" s="321" t="s">
        <v>131</v>
      </c>
      <c r="B302" s="321"/>
      <c r="C302" s="321"/>
      <c r="D302" s="321"/>
      <c r="E302" s="110">
        <f>E303</f>
        <v>2345.6898267967349</v>
      </c>
      <c r="F302" s="110">
        <f t="shared" ref="F302:I302" si="98">F303</f>
        <v>2919.9017851217732</v>
      </c>
      <c r="G302" s="110">
        <f t="shared" si="98"/>
        <v>2919.9</v>
      </c>
      <c r="H302" s="110">
        <f t="shared" si="98"/>
        <v>2900</v>
      </c>
      <c r="I302" s="110">
        <f t="shared" si="98"/>
        <v>3000</v>
      </c>
    </row>
    <row r="303" spans="1:9" x14ac:dyDescent="0.25">
      <c r="A303" s="248" t="s">
        <v>183</v>
      </c>
      <c r="B303" s="249"/>
      <c r="C303" s="249"/>
      <c r="D303" s="250"/>
      <c r="E303" s="81">
        <f>E305</f>
        <v>2345.6898267967349</v>
      </c>
      <c r="F303" s="81">
        <f t="shared" ref="F303:I303" si="99">F305</f>
        <v>2919.9017851217732</v>
      </c>
      <c r="G303" s="81">
        <f t="shared" si="99"/>
        <v>2919.9</v>
      </c>
      <c r="H303" s="81">
        <f t="shared" si="99"/>
        <v>2900</v>
      </c>
      <c r="I303" s="81">
        <f t="shared" si="99"/>
        <v>3000</v>
      </c>
    </row>
    <row r="304" spans="1:9" x14ac:dyDescent="0.25">
      <c r="A304" s="58" t="s">
        <v>109</v>
      </c>
      <c r="B304" s="58"/>
      <c r="C304" s="58"/>
      <c r="D304" s="58"/>
      <c r="E304" s="65">
        <f>E305</f>
        <v>2345.6898267967349</v>
      </c>
      <c r="F304" s="74">
        <f>22000/7.5345</f>
        <v>2919.9017851217732</v>
      </c>
      <c r="G304" s="74">
        <v>2919.9</v>
      </c>
      <c r="H304" s="74">
        <v>2900</v>
      </c>
      <c r="I304" s="74">
        <v>3000</v>
      </c>
    </row>
    <row r="305" spans="1:9" x14ac:dyDescent="0.25">
      <c r="A305" s="219">
        <v>3</v>
      </c>
      <c r="B305" s="220"/>
      <c r="C305" s="221"/>
      <c r="D305" s="49" t="s">
        <v>26</v>
      </c>
      <c r="E305" s="64">
        <f>E306</f>
        <v>2345.6898267967349</v>
      </c>
      <c r="F305" s="64">
        <f t="shared" ref="F305:I305" si="100">F306</f>
        <v>2919.9017851217732</v>
      </c>
      <c r="G305" s="64">
        <f t="shared" si="100"/>
        <v>2919.9</v>
      </c>
      <c r="H305" s="64">
        <f t="shared" si="100"/>
        <v>2900</v>
      </c>
      <c r="I305" s="64">
        <f t="shared" si="100"/>
        <v>3000</v>
      </c>
    </row>
    <row r="306" spans="1:9" x14ac:dyDescent="0.25">
      <c r="A306" s="216">
        <v>38</v>
      </c>
      <c r="B306" s="217"/>
      <c r="C306" s="218"/>
      <c r="D306" s="49" t="s">
        <v>64</v>
      </c>
      <c r="E306" s="64">
        <f>17673.6/7.5345</f>
        <v>2345.6898267967349</v>
      </c>
      <c r="F306" s="64">
        <f>22000/7.5345</f>
        <v>2919.9017851217732</v>
      </c>
      <c r="G306" s="64">
        <v>2919.9</v>
      </c>
      <c r="H306" s="64">
        <v>2900</v>
      </c>
      <c r="I306" s="64">
        <v>3000</v>
      </c>
    </row>
    <row r="307" spans="1:9" x14ac:dyDescent="0.25">
      <c r="A307" s="122" t="s">
        <v>132</v>
      </c>
      <c r="B307" s="122"/>
      <c r="C307" s="122"/>
      <c r="D307" s="122"/>
      <c r="E307" s="123">
        <f>E308+E320+E314</f>
        <v>27737.407923551662</v>
      </c>
      <c r="F307" s="123">
        <f t="shared" ref="F307:I307" si="101">F308+F320+F314</f>
        <v>43134.912734753467</v>
      </c>
      <c r="G307" s="123">
        <f t="shared" si="101"/>
        <v>69414.03</v>
      </c>
      <c r="H307" s="123">
        <f t="shared" si="101"/>
        <v>44070</v>
      </c>
      <c r="I307" s="123">
        <f t="shared" si="101"/>
        <v>44020</v>
      </c>
    </row>
    <row r="308" spans="1:9" x14ac:dyDescent="0.25">
      <c r="A308" s="101" t="s">
        <v>133</v>
      </c>
      <c r="B308" s="101"/>
      <c r="C308" s="101"/>
      <c r="D308" s="101"/>
      <c r="E308" s="104">
        <f>E309</f>
        <v>24288.273939876566</v>
      </c>
      <c r="F308" s="104">
        <f t="shared" ref="F308:I308" si="102">F309</f>
        <v>29199.01785121773</v>
      </c>
      <c r="G308" s="104">
        <f t="shared" si="102"/>
        <v>37162.39</v>
      </c>
      <c r="H308" s="104">
        <f t="shared" si="102"/>
        <v>38000</v>
      </c>
      <c r="I308" s="104">
        <f t="shared" si="102"/>
        <v>38000</v>
      </c>
    </row>
    <row r="309" spans="1:9" x14ac:dyDescent="0.25">
      <c r="A309" s="229" t="s">
        <v>184</v>
      </c>
      <c r="B309" s="230"/>
      <c r="C309" s="230"/>
      <c r="D309" s="230"/>
      <c r="E309" s="319">
        <f>E312</f>
        <v>24288.273939876566</v>
      </c>
      <c r="F309" s="319">
        <f t="shared" ref="F309:I309" si="103">F312</f>
        <v>29199.01785121773</v>
      </c>
      <c r="G309" s="319">
        <f t="shared" si="103"/>
        <v>37162.39</v>
      </c>
      <c r="H309" s="319">
        <f t="shared" si="103"/>
        <v>38000</v>
      </c>
      <c r="I309" s="319">
        <f t="shared" si="103"/>
        <v>38000</v>
      </c>
    </row>
    <row r="310" spans="1:9" x14ac:dyDescent="0.25">
      <c r="A310" s="86" t="s">
        <v>134</v>
      </c>
      <c r="B310" s="87"/>
      <c r="C310" s="87"/>
      <c r="D310" s="87"/>
      <c r="E310" s="320"/>
      <c r="F310" s="320"/>
      <c r="G310" s="320"/>
      <c r="H310" s="320"/>
      <c r="I310" s="320"/>
    </row>
    <row r="311" spans="1:9" x14ac:dyDescent="0.25">
      <c r="A311" s="58" t="s">
        <v>109</v>
      </c>
      <c r="B311" s="58"/>
      <c r="C311" s="58"/>
      <c r="D311" s="58"/>
      <c r="E311" s="67">
        <f>E312</f>
        <v>24288.273939876566</v>
      </c>
      <c r="F311" s="74">
        <f>220000/7.5345</f>
        <v>29199.01785121773</v>
      </c>
      <c r="G311" s="74">
        <v>37162.39</v>
      </c>
      <c r="H311" s="74">
        <v>38000</v>
      </c>
      <c r="I311" s="74">
        <v>38000</v>
      </c>
    </row>
    <row r="312" spans="1:9" x14ac:dyDescent="0.25">
      <c r="A312" s="219">
        <v>3</v>
      </c>
      <c r="B312" s="220"/>
      <c r="C312" s="221"/>
      <c r="D312" s="49" t="s">
        <v>26</v>
      </c>
      <c r="E312" s="51">
        <f>E313</f>
        <v>24288.273939876566</v>
      </c>
      <c r="F312" s="51">
        <f t="shared" ref="F312:I312" si="104">F313</f>
        <v>29199.01785121773</v>
      </c>
      <c r="G312" s="51">
        <f t="shared" si="104"/>
        <v>37162.39</v>
      </c>
      <c r="H312" s="51">
        <f t="shared" si="104"/>
        <v>38000</v>
      </c>
      <c r="I312" s="51">
        <f t="shared" si="104"/>
        <v>38000</v>
      </c>
    </row>
    <row r="313" spans="1:9" x14ac:dyDescent="0.25">
      <c r="A313" s="216">
        <v>38</v>
      </c>
      <c r="B313" s="217"/>
      <c r="C313" s="218"/>
      <c r="D313" s="49" t="s">
        <v>64</v>
      </c>
      <c r="E313" s="51">
        <f>183000/7.5345</f>
        <v>24288.273939876566</v>
      </c>
      <c r="F313" s="64">
        <f>220000/7.5345</f>
        <v>29199.01785121773</v>
      </c>
      <c r="G313" s="64">
        <v>37162.39</v>
      </c>
      <c r="H313" s="64">
        <v>38000</v>
      </c>
      <c r="I313" s="64">
        <v>38000</v>
      </c>
    </row>
    <row r="314" spans="1:9" x14ac:dyDescent="0.25">
      <c r="A314" s="101" t="s">
        <v>135</v>
      </c>
      <c r="B314" s="101"/>
      <c r="C314" s="101"/>
      <c r="D314" s="101"/>
      <c r="E314" s="104">
        <f>E315</f>
        <v>1592.6737009755125</v>
      </c>
      <c r="F314" s="104">
        <f t="shared" ref="F314:I314" si="105">F315</f>
        <v>3318.0702103656513</v>
      </c>
      <c r="G314" s="104">
        <f t="shared" si="105"/>
        <v>2389.0100000000002</v>
      </c>
      <c r="H314" s="104">
        <f t="shared" si="105"/>
        <v>3400</v>
      </c>
      <c r="I314" s="104">
        <f t="shared" si="105"/>
        <v>3350</v>
      </c>
    </row>
    <row r="315" spans="1:9" x14ac:dyDescent="0.25">
      <c r="A315" s="229" t="s">
        <v>214</v>
      </c>
      <c r="B315" s="230"/>
      <c r="C315" s="230"/>
      <c r="D315" s="230"/>
      <c r="E315" s="319">
        <f>E318</f>
        <v>1592.6737009755125</v>
      </c>
      <c r="F315" s="319">
        <f t="shared" ref="F315:I315" si="106">F318</f>
        <v>3318.0702103656513</v>
      </c>
      <c r="G315" s="319">
        <f t="shared" si="106"/>
        <v>2389.0100000000002</v>
      </c>
      <c r="H315" s="319">
        <f t="shared" si="106"/>
        <v>3400</v>
      </c>
      <c r="I315" s="319">
        <f t="shared" si="106"/>
        <v>3350</v>
      </c>
    </row>
    <row r="316" spans="1:9" x14ac:dyDescent="0.25">
      <c r="A316" s="231"/>
      <c r="B316" s="232"/>
      <c r="C316" s="232"/>
      <c r="D316" s="232"/>
      <c r="E316" s="320"/>
      <c r="F316" s="320"/>
      <c r="G316" s="320"/>
      <c r="H316" s="320"/>
      <c r="I316" s="320"/>
    </row>
    <row r="317" spans="1:9" x14ac:dyDescent="0.25">
      <c r="A317" s="58" t="s">
        <v>109</v>
      </c>
      <c r="B317" s="58"/>
      <c r="C317" s="58"/>
      <c r="D317" s="58"/>
      <c r="E317" s="65">
        <f>E318</f>
        <v>1592.6737009755125</v>
      </c>
      <c r="F317" s="74">
        <f>25000/7.5345</f>
        <v>3318.0702103656513</v>
      </c>
      <c r="G317" s="74">
        <v>3318.07</v>
      </c>
      <c r="H317" s="74">
        <v>3400</v>
      </c>
      <c r="I317" s="74">
        <v>3350</v>
      </c>
    </row>
    <row r="318" spans="1:9" x14ac:dyDescent="0.25">
      <c r="A318" s="219">
        <v>3</v>
      </c>
      <c r="B318" s="220"/>
      <c r="C318" s="221"/>
      <c r="D318" s="49" t="s">
        <v>26</v>
      </c>
      <c r="E318" s="51">
        <f>E319</f>
        <v>1592.6737009755125</v>
      </c>
      <c r="F318" s="51">
        <f t="shared" ref="F318:I318" si="107">F319</f>
        <v>3318.0702103656513</v>
      </c>
      <c r="G318" s="51">
        <f t="shared" si="107"/>
        <v>2389.0100000000002</v>
      </c>
      <c r="H318" s="51">
        <f t="shared" si="107"/>
        <v>3400</v>
      </c>
      <c r="I318" s="51">
        <f t="shared" si="107"/>
        <v>3350</v>
      </c>
    </row>
    <row r="319" spans="1:9" x14ac:dyDescent="0.25">
      <c r="A319" s="216">
        <v>38</v>
      </c>
      <c r="B319" s="217"/>
      <c r="C319" s="218"/>
      <c r="D319" s="49" t="s">
        <v>64</v>
      </c>
      <c r="E319" s="51">
        <f>12000/7.5345</f>
        <v>1592.6737009755125</v>
      </c>
      <c r="F319" s="64">
        <f>25000/7.5345</f>
        <v>3318.0702103656513</v>
      </c>
      <c r="G319" s="64">
        <f>3318.07-929.06</f>
        <v>2389.0100000000002</v>
      </c>
      <c r="H319" s="64">
        <v>3400</v>
      </c>
      <c r="I319" s="64">
        <v>3350</v>
      </c>
    </row>
    <row r="320" spans="1:9" x14ac:dyDescent="0.25">
      <c r="A320" s="240" t="s">
        <v>136</v>
      </c>
      <c r="B320" s="241"/>
      <c r="C320" s="241"/>
      <c r="D320" s="242"/>
      <c r="E320" s="103">
        <f>E321+E327</f>
        <v>1856.460282699582</v>
      </c>
      <c r="F320" s="103">
        <f t="shared" ref="F320:I320" si="108">F321+F327</f>
        <v>10617.824673170084</v>
      </c>
      <c r="G320" s="103">
        <f t="shared" si="108"/>
        <v>29862.63</v>
      </c>
      <c r="H320" s="103">
        <f t="shared" si="108"/>
        <v>2670</v>
      </c>
      <c r="I320" s="103">
        <f t="shared" si="108"/>
        <v>2670</v>
      </c>
    </row>
    <row r="321" spans="1:9" x14ac:dyDescent="0.25">
      <c r="A321" s="248" t="s">
        <v>137</v>
      </c>
      <c r="B321" s="249"/>
      <c r="C321" s="249"/>
      <c r="D321" s="250"/>
      <c r="E321" s="81">
        <f>E323</f>
        <v>1325.5690490410777</v>
      </c>
      <c r="F321" s="81">
        <f>F323+F325</f>
        <v>10617.824673170084</v>
      </c>
      <c r="G321" s="81">
        <f t="shared" ref="G321:I321" si="109">G323</f>
        <v>29199.02</v>
      </c>
      <c r="H321" s="81">
        <f t="shared" si="109"/>
        <v>2000</v>
      </c>
      <c r="I321" s="81">
        <f t="shared" si="109"/>
        <v>2000</v>
      </c>
    </row>
    <row r="322" spans="1:9" x14ac:dyDescent="0.25">
      <c r="A322" s="58" t="s">
        <v>109</v>
      </c>
      <c r="B322" s="58"/>
      <c r="C322" s="58"/>
      <c r="D322" s="58"/>
      <c r="E322" s="65">
        <f>E321</f>
        <v>1325.5690490410777</v>
      </c>
      <c r="F322" s="74">
        <f>80000/7.5345</f>
        <v>10617.824673170084</v>
      </c>
      <c r="G322" s="74">
        <v>29199.02</v>
      </c>
      <c r="H322" s="74">
        <v>2000</v>
      </c>
      <c r="I322" s="74">
        <v>2000</v>
      </c>
    </row>
    <row r="323" spans="1:9" x14ac:dyDescent="0.25">
      <c r="A323" s="219">
        <v>3</v>
      </c>
      <c r="B323" s="220"/>
      <c r="C323" s="221"/>
      <c r="D323" s="49" t="s">
        <v>26</v>
      </c>
      <c r="E323" s="51">
        <f>E324</f>
        <v>1325.5690490410777</v>
      </c>
      <c r="F323" s="51">
        <f t="shared" ref="F323:I323" si="110">F324</f>
        <v>2654.4561682925209</v>
      </c>
      <c r="G323" s="51">
        <f t="shared" si="110"/>
        <v>29199.02</v>
      </c>
      <c r="H323" s="51">
        <f t="shared" si="110"/>
        <v>2000</v>
      </c>
      <c r="I323" s="51">
        <f t="shared" si="110"/>
        <v>2000</v>
      </c>
    </row>
    <row r="324" spans="1:9" x14ac:dyDescent="0.25">
      <c r="A324" s="216">
        <v>38</v>
      </c>
      <c r="B324" s="217"/>
      <c r="C324" s="218"/>
      <c r="D324" s="49" t="s">
        <v>64</v>
      </c>
      <c r="E324" s="51">
        <f>9987.5/7.5345</f>
        <v>1325.5690490410777</v>
      </c>
      <c r="F324" s="64">
        <f>20000/7.5345</f>
        <v>2654.4561682925209</v>
      </c>
      <c r="G324" s="64">
        <v>29199.02</v>
      </c>
      <c r="H324" s="64">
        <v>2000</v>
      </c>
      <c r="I324" s="64">
        <v>2000</v>
      </c>
    </row>
    <row r="325" spans="1:9" ht="25.5" x14ac:dyDescent="0.25">
      <c r="A325" s="219">
        <v>4</v>
      </c>
      <c r="B325" s="220"/>
      <c r="C325" s="221"/>
      <c r="D325" s="49" t="s">
        <v>5</v>
      </c>
      <c r="E325" s="51"/>
      <c r="F325" s="64">
        <f>F326</f>
        <v>7963.3685048775624</v>
      </c>
      <c r="G325" s="64"/>
      <c r="H325" s="64"/>
      <c r="I325" s="64"/>
    </row>
    <row r="326" spans="1:9" ht="25.5" x14ac:dyDescent="0.25">
      <c r="A326" s="216">
        <v>42</v>
      </c>
      <c r="B326" s="217"/>
      <c r="C326" s="218"/>
      <c r="D326" s="49" t="s">
        <v>153</v>
      </c>
      <c r="E326" s="51"/>
      <c r="F326" s="64">
        <f>60000/7.5345</f>
        <v>7963.3685048775624</v>
      </c>
      <c r="G326" s="64"/>
      <c r="H326" s="64"/>
      <c r="I326" s="64"/>
    </row>
    <row r="327" spans="1:9" x14ac:dyDescent="0.25">
      <c r="A327" s="248" t="s">
        <v>138</v>
      </c>
      <c r="B327" s="249"/>
      <c r="C327" s="249"/>
      <c r="D327" s="250"/>
      <c r="E327" s="81">
        <f>E329</f>
        <v>530.89123365850423</v>
      </c>
      <c r="F327" s="80"/>
      <c r="G327" s="152">
        <f>G329</f>
        <v>663.61</v>
      </c>
      <c r="H327" s="152">
        <f t="shared" ref="H327:I327" si="111">H329</f>
        <v>670</v>
      </c>
      <c r="I327" s="152">
        <f t="shared" si="111"/>
        <v>670</v>
      </c>
    </row>
    <row r="328" spans="1:9" x14ac:dyDescent="0.25">
      <c r="A328" s="58" t="s">
        <v>109</v>
      </c>
      <c r="B328" s="58"/>
      <c r="C328" s="58"/>
      <c r="D328" s="58"/>
      <c r="E328" s="65">
        <f>E327</f>
        <v>530.89123365850423</v>
      </c>
      <c r="F328" s="74"/>
      <c r="G328" s="74">
        <v>663.61</v>
      </c>
      <c r="H328" s="74">
        <v>670</v>
      </c>
      <c r="I328" s="74">
        <v>670</v>
      </c>
    </row>
    <row r="329" spans="1:9" x14ac:dyDescent="0.25">
      <c r="A329" s="219">
        <v>3</v>
      </c>
      <c r="B329" s="220"/>
      <c r="C329" s="221"/>
      <c r="D329" s="49" t="s">
        <v>26</v>
      </c>
      <c r="E329" s="51">
        <f>E330</f>
        <v>530.89123365850423</v>
      </c>
      <c r="F329" s="64"/>
      <c r="G329" s="64">
        <f>G330</f>
        <v>663.61</v>
      </c>
      <c r="H329" s="64">
        <f t="shared" ref="H329:I329" si="112">H330</f>
        <v>670</v>
      </c>
      <c r="I329" s="64">
        <f t="shared" si="112"/>
        <v>670</v>
      </c>
    </row>
    <row r="330" spans="1:9" x14ac:dyDescent="0.25">
      <c r="A330" s="216">
        <v>38</v>
      </c>
      <c r="B330" s="217"/>
      <c r="C330" s="218"/>
      <c r="D330" s="49" t="s">
        <v>64</v>
      </c>
      <c r="E330" s="51">
        <f>4000/7.5345</f>
        <v>530.89123365850423</v>
      </c>
      <c r="F330" s="64"/>
      <c r="G330" s="64">
        <v>663.61</v>
      </c>
      <c r="H330" s="64">
        <v>670</v>
      </c>
      <c r="I330" s="64">
        <v>670</v>
      </c>
    </row>
    <row r="331" spans="1:9" x14ac:dyDescent="0.25">
      <c r="A331" s="122" t="s">
        <v>140</v>
      </c>
      <c r="B331" s="122"/>
      <c r="C331" s="122"/>
      <c r="D331" s="122"/>
      <c r="E331" s="123">
        <f>E332+E364</f>
        <v>60879.754462804434</v>
      </c>
      <c r="F331" s="123">
        <f>F332+F364</f>
        <v>107649.54542438118</v>
      </c>
      <c r="G331" s="123">
        <f>G332+G364</f>
        <v>108275.25</v>
      </c>
      <c r="H331" s="123">
        <f>H332+H364</f>
        <v>66600</v>
      </c>
      <c r="I331" s="123">
        <f>I332+I364</f>
        <v>66700</v>
      </c>
    </row>
    <row r="332" spans="1:9" x14ac:dyDescent="0.25">
      <c r="A332" s="108" t="s">
        <v>139</v>
      </c>
      <c r="B332" s="108"/>
      <c r="C332" s="108"/>
      <c r="D332" s="108"/>
      <c r="E332" s="109">
        <f>E333+E339+E343+E349</f>
        <v>56505.52790497047</v>
      </c>
      <c r="F332" s="109">
        <f>F333+F339+F343+F349+F354+F359</f>
        <v>93315.482115601568</v>
      </c>
      <c r="G332" s="109">
        <f>G333+G339+G343+G349+G354+G359</f>
        <v>81067.08</v>
      </c>
      <c r="H332" s="109">
        <f>H333+H339+H343+H349</f>
        <v>51600</v>
      </c>
      <c r="I332" s="109">
        <f>I333+I339+I343+I349</f>
        <v>51700</v>
      </c>
    </row>
    <row r="333" spans="1:9" x14ac:dyDescent="0.25">
      <c r="A333" s="76" t="s">
        <v>141</v>
      </c>
      <c r="B333" s="77"/>
      <c r="C333" s="77"/>
      <c r="D333" s="77"/>
      <c r="E333" s="78">
        <f>E336</f>
        <v>35034.316809343683</v>
      </c>
      <c r="F333" s="78">
        <f t="shared" ref="F333:I333" si="113">F336</f>
        <v>52677.68265976508</v>
      </c>
      <c r="G333" s="78">
        <f t="shared" si="113"/>
        <v>49505.61</v>
      </c>
      <c r="H333" s="78">
        <f t="shared" si="113"/>
        <v>50000</v>
      </c>
      <c r="I333" s="78">
        <f t="shared" si="113"/>
        <v>50000</v>
      </c>
    </row>
    <row r="334" spans="1:9" x14ac:dyDescent="0.25">
      <c r="A334" s="58" t="s">
        <v>142</v>
      </c>
      <c r="B334" s="58"/>
      <c r="C334" s="58"/>
      <c r="D334" s="58"/>
      <c r="E334" s="65">
        <f>253466.06/7.5345</f>
        <v>33640.72732099011</v>
      </c>
      <c r="F334" s="74">
        <f>396900/7.5345</f>
        <v>52677.68265976508</v>
      </c>
      <c r="G334" s="74">
        <v>49505.61</v>
      </c>
      <c r="H334" s="74">
        <v>50000</v>
      </c>
      <c r="I334" s="74">
        <v>50000</v>
      </c>
    </row>
    <row r="335" spans="1:9" x14ac:dyDescent="0.25">
      <c r="A335" s="58" t="s">
        <v>143</v>
      </c>
      <c r="B335" s="58"/>
      <c r="C335" s="58"/>
      <c r="D335" s="58"/>
      <c r="E335" s="67">
        <f>10500/7.5345</f>
        <v>1393.5894883535734</v>
      </c>
      <c r="F335" s="74"/>
      <c r="G335" s="74"/>
      <c r="H335" s="74"/>
      <c r="I335" s="74"/>
    </row>
    <row r="336" spans="1:9" x14ac:dyDescent="0.25">
      <c r="A336" s="219">
        <v>3</v>
      </c>
      <c r="B336" s="220"/>
      <c r="C336" s="221"/>
      <c r="D336" s="49" t="s">
        <v>26</v>
      </c>
      <c r="E336" s="64">
        <f>E338</f>
        <v>35034.316809343683</v>
      </c>
      <c r="F336" s="64">
        <f>F338+F337</f>
        <v>52677.68265976508</v>
      </c>
      <c r="G336" s="64">
        <f>G338+G337</f>
        <v>49505.61</v>
      </c>
      <c r="H336" s="64">
        <f t="shared" ref="H336:I336" si="114">H338+H337</f>
        <v>50000</v>
      </c>
      <c r="I336" s="64">
        <f t="shared" si="114"/>
        <v>50000</v>
      </c>
    </row>
    <row r="337" spans="1:9" ht="25.5" x14ac:dyDescent="0.25">
      <c r="A337" s="216">
        <v>36</v>
      </c>
      <c r="B337" s="217"/>
      <c r="C337" s="218"/>
      <c r="D337" s="49" t="s">
        <v>62</v>
      </c>
      <c r="E337" s="64"/>
      <c r="F337" s="64">
        <f>20000/7.5345</f>
        <v>2654.4561682925209</v>
      </c>
      <c r="G337" s="64">
        <v>2654.46</v>
      </c>
      <c r="H337" s="64">
        <v>3849</v>
      </c>
      <c r="I337" s="64"/>
    </row>
    <row r="338" spans="1:9" ht="38.25" x14ac:dyDescent="0.25">
      <c r="A338" s="216">
        <v>37</v>
      </c>
      <c r="B338" s="217"/>
      <c r="C338" s="218"/>
      <c r="D338" s="49" t="s">
        <v>63</v>
      </c>
      <c r="E338" s="64">
        <f>263966.06/7.5345</f>
        <v>35034.316809343683</v>
      </c>
      <c r="F338" s="64">
        <f>376900/7.5345</f>
        <v>50023.22649147256</v>
      </c>
      <c r="G338" s="64">
        <v>46851.15</v>
      </c>
      <c r="H338" s="64">
        <v>46151</v>
      </c>
      <c r="I338" s="64">
        <v>50000</v>
      </c>
    </row>
    <row r="339" spans="1:9" x14ac:dyDescent="0.25">
      <c r="A339" s="76" t="s">
        <v>144</v>
      </c>
      <c r="B339" s="77"/>
      <c r="C339" s="77"/>
      <c r="D339" s="84"/>
      <c r="E339" s="78">
        <f>E341</f>
        <v>1326.8431880018582</v>
      </c>
      <c r="F339" s="78">
        <f t="shared" ref="F339:I339" si="115">F341</f>
        <v>1327.2280841462605</v>
      </c>
      <c r="G339" s="78">
        <f t="shared" si="115"/>
        <v>1592.67</v>
      </c>
      <c r="H339" s="78">
        <f t="shared" si="115"/>
        <v>1600</v>
      </c>
      <c r="I339" s="78">
        <f t="shared" si="115"/>
        <v>1700</v>
      </c>
    </row>
    <row r="340" spans="1:9" x14ac:dyDescent="0.25">
      <c r="A340" s="58" t="s">
        <v>84</v>
      </c>
      <c r="B340" s="58"/>
      <c r="C340" s="58"/>
      <c r="D340" s="54"/>
      <c r="E340" s="65">
        <f>E341</f>
        <v>1326.8431880018582</v>
      </c>
      <c r="F340" s="74">
        <f>10000/7.5345</f>
        <v>1327.2280841462605</v>
      </c>
      <c r="G340" s="74">
        <v>1592.67</v>
      </c>
      <c r="H340" s="74">
        <v>1600</v>
      </c>
      <c r="I340" s="74">
        <v>1700</v>
      </c>
    </row>
    <row r="341" spans="1:9" x14ac:dyDescent="0.25">
      <c r="A341" s="219">
        <v>3</v>
      </c>
      <c r="B341" s="220"/>
      <c r="C341" s="221"/>
      <c r="D341" s="49" t="s">
        <v>26</v>
      </c>
      <c r="E341" s="64">
        <f>E342</f>
        <v>1326.8431880018582</v>
      </c>
      <c r="F341" s="64">
        <f t="shared" ref="F341:I341" si="116">F342</f>
        <v>1327.2280841462605</v>
      </c>
      <c r="G341" s="64">
        <f t="shared" si="116"/>
        <v>1592.67</v>
      </c>
      <c r="H341" s="64">
        <f t="shared" si="116"/>
        <v>1600</v>
      </c>
      <c r="I341" s="64">
        <f t="shared" si="116"/>
        <v>1700</v>
      </c>
    </row>
    <row r="342" spans="1:9" ht="38.25" x14ac:dyDescent="0.25">
      <c r="A342" s="216">
        <v>37</v>
      </c>
      <c r="B342" s="217"/>
      <c r="C342" s="218"/>
      <c r="D342" s="49" t="s">
        <v>63</v>
      </c>
      <c r="E342" s="64">
        <f>9997.1/7.5345</f>
        <v>1326.8431880018582</v>
      </c>
      <c r="F342" s="64">
        <f>10000/7.5345</f>
        <v>1327.2280841462605</v>
      </c>
      <c r="G342" s="64">
        <v>1592.67</v>
      </c>
      <c r="H342" s="64">
        <v>1600</v>
      </c>
      <c r="I342" s="64">
        <v>1700</v>
      </c>
    </row>
    <row r="343" spans="1:9" ht="29.25" customHeight="1" x14ac:dyDescent="0.25">
      <c r="A343" s="256" t="s">
        <v>145</v>
      </c>
      <c r="B343" s="257"/>
      <c r="C343" s="257"/>
      <c r="D343" s="258"/>
      <c r="E343" s="83">
        <f>E346</f>
        <v>13831.905235914792</v>
      </c>
      <c r="F343" s="83">
        <f t="shared" ref="F343:I343" si="117">F346</f>
        <v>4220.5853075851082</v>
      </c>
      <c r="G343" s="83">
        <f t="shared" si="117"/>
        <v>0</v>
      </c>
      <c r="H343" s="83">
        <f t="shared" si="117"/>
        <v>0</v>
      </c>
      <c r="I343" s="83">
        <f t="shared" si="117"/>
        <v>0</v>
      </c>
    </row>
    <row r="344" spans="1:9" x14ac:dyDescent="0.25">
      <c r="A344" s="273" t="s">
        <v>86</v>
      </c>
      <c r="B344" s="274"/>
      <c r="C344" s="274"/>
      <c r="D344" s="274"/>
      <c r="E344" s="65">
        <f>79220/7.5345</f>
        <v>10514.300882606676</v>
      </c>
      <c r="F344" s="74">
        <f>31800/7.5345</f>
        <v>4220.5853075851082</v>
      </c>
      <c r="G344" s="74"/>
      <c r="H344" s="74"/>
      <c r="I344" s="74"/>
    </row>
    <row r="345" spans="1:9" x14ac:dyDescent="0.25">
      <c r="A345" s="58" t="s">
        <v>84</v>
      </c>
      <c r="B345" s="58"/>
      <c r="C345" s="58"/>
      <c r="D345" s="58"/>
      <c r="E345" s="67">
        <f>24996.49/7.5345</f>
        <v>3317.6043533081161</v>
      </c>
      <c r="F345" s="74"/>
      <c r="G345" s="74"/>
      <c r="H345" s="74"/>
      <c r="I345" s="74"/>
    </row>
    <row r="346" spans="1:9" x14ac:dyDescent="0.25">
      <c r="A346" s="219">
        <v>3</v>
      </c>
      <c r="B346" s="220"/>
      <c r="C346" s="221"/>
      <c r="D346" s="49" t="s">
        <v>26</v>
      </c>
      <c r="E346" s="64">
        <f>E347+E348</f>
        <v>13831.905235914792</v>
      </c>
      <c r="F346" s="64">
        <f t="shared" ref="F346:I346" si="118">F347+F348</f>
        <v>4220.5853075851082</v>
      </c>
      <c r="G346" s="64">
        <f t="shared" si="118"/>
        <v>0</v>
      </c>
      <c r="H346" s="64">
        <f t="shared" si="118"/>
        <v>0</v>
      </c>
      <c r="I346" s="64">
        <f t="shared" si="118"/>
        <v>0</v>
      </c>
    </row>
    <row r="347" spans="1:9" x14ac:dyDescent="0.25">
      <c r="A347" s="216">
        <v>31</v>
      </c>
      <c r="B347" s="217"/>
      <c r="C347" s="218"/>
      <c r="D347" s="49" t="s">
        <v>29</v>
      </c>
      <c r="E347" s="64">
        <f>103736.49/7.5345</f>
        <v>13768.198287875772</v>
      </c>
      <c r="F347" s="64">
        <f>31800/7.5345</f>
        <v>4220.5853075851082</v>
      </c>
      <c r="G347" s="64"/>
      <c r="H347" s="64"/>
      <c r="I347" s="64"/>
    </row>
    <row r="348" spans="1:9" x14ac:dyDescent="0.25">
      <c r="A348" s="216">
        <v>32</v>
      </c>
      <c r="B348" s="217"/>
      <c r="C348" s="218"/>
      <c r="D348" s="49" t="s">
        <v>43</v>
      </c>
      <c r="E348" s="64">
        <f>480/7.5345</f>
        <v>63.706948039020503</v>
      </c>
      <c r="F348" s="64"/>
      <c r="G348" s="64"/>
      <c r="H348" s="64"/>
      <c r="I348" s="64"/>
    </row>
    <row r="349" spans="1:9" x14ac:dyDescent="0.25">
      <c r="A349" s="82" t="s">
        <v>146</v>
      </c>
      <c r="B349" s="82"/>
      <c r="C349" s="82"/>
      <c r="D349" s="82"/>
      <c r="E349" s="83">
        <f>E351</f>
        <v>6312.4626717101328</v>
      </c>
      <c r="F349" s="83">
        <f t="shared" ref="F349:I349" si="119">F351</f>
        <v>19828.787577145133</v>
      </c>
      <c r="G349" s="83">
        <f t="shared" si="119"/>
        <v>0</v>
      </c>
      <c r="H349" s="83">
        <f t="shared" si="119"/>
        <v>0</v>
      </c>
      <c r="I349" s="83">
        <f t="shared" si="119"/>
        <v>0</v>
      </c>
    </row>
    <row r="350" spans="1:9" x14ac:dyDescent="0.25">
      <c r="A350" s="58" t="s">
        <v>147</v>
      </c>
      <c r="B350" s="59"/>
      <c r="C350" s="59"/>
      <c r="D350" s="59"/>
      <c r="E350" s="75">
        <f>47561.25/7.5345</f>
        <v>6312.4626717101328</v>
      </c>
      <c r="F350" s="74">
        <f>149400/7.5345</f>
        <v>19828.787577145133</v>
      </c>
      <c r="G350" s="74"/>
      <c r="H350" s="74"/>
      <c r="I350" s="74"/>
    </row>
    <row r="351" spans="1:9" x14ac:dyDescent="0.25">
      <c r="A351" s="219">
        <v>3</v>
      </c>
      <c r="B351" s="220"/>
      <c r="C351" s="221"/>
      <c r="D351" s="49" t="s">
        <v>26</v>
      </c>
      <c r="E351" s="64">
        <f>E352+E353</f>
        <v>6312.4626717101328</v>
      </c>
      <c r="F351" s="64">
        <f t="shared" ref="F351:I351" si="120">F352+F353</f>
        <v>19828.787577145133</v>
      </c>
      <c r="G351" s="64">
        <f t="shared" si="120"/>
        <v>0</v>
      </c>
      <c r="H351" s="64">
        <f t="shared" si="120"/>
        <v>0</v>
      </c>
      <c r="I351" s="64">
        <f t="shared" si="120"/>
        <v>0</v>
      </c>
    </row>
    <row r="352" spans="1:9" x14ac:dyDescent="0.25">
      <c r="A352" s="216">
        <v>31</v>
      </c>
      <c r="B352" s="217"/>
      <c r="C352" s="218"/>
      <c r="D352" s="49" t="s">
        <v>29</v>
      </c>
      <c r="E352" s="64">
        <f>47561.25/7.5345</f>
        <v>6312.4626717101328</v>
      </c>
      <c r="F352" s="64">
        <f>148300/7.5345</f>
        <v>19682.792487889044</v>
      </c>
      <c r="G352" s="64"/>
      <c r="H352" s="64"/>
      <c r="I352" s="64"/>
    </row>
    <row r="353" spans="1:9" x14ac:dyDescent="0.25">
      <c r="A353" s="216">
        <v>32</v>
      </c>
      <c r="B353" s="217"/>
      <c r="C353" s="218"/>
      <c r="D353" s="49" t="s">
        <v>43</v>
      </c>
      <c r="E353" s="64"/>
      <c r="F353" s="64">
        <f>1100/7.5345</f>
        <v>145.99508925608865</v>
      </c>
      <c r="G353" s="64"/>
      <c r="H353" s="64"/>
      <c r="I353" s="64"/>
    </row>
    <row r="354" spans="1:9" ht="29.25" customHeight="1" x14ac:dyDescent="0.25">
      <c r="A354" s="256" t="s">
        <v>196</v>
      </c>
      <c r="B354" s="257"/>
      <c r="C354" s="257"/>
      <c r="D354" s="258"/>
      <c r="E354" s="83">
        <f>E356</f>
        <v>0</v>
      </c>
      <c r="F354" s="83">
        <f t="shared" ref="F354:I354" si="121">F356</f>
        <v>4360.3424248457095</v>
      </c>
      <c r="G354" s="83">
        <f t="shared" si="121"/>
        <v>10033.84</v>
      </c>
      <c r="H354" s="83">
        <f t="shared" si="121"/>
        <v>0</v>
      </c>
      <c r="I354" s="83">
        <f t="shared" si="121"/>
        <v>0</v>
      </c>
    </row>
    <row r="355" spans="1:9" x14ac:dyDescent="0.25">
      <c r="A355" s="273" t="s">
        <v>86</v>
      </c>
      <c r="B355" s="274"/>
      <c r="C355" s="274"/>
      <c r="D355" s="274"/>
      <c r="E355" s="65"/>
      <c r="F355" s="74">
        <f>32853/7.5345</f>
        <v>4360.3424248457095</v>
      </c>
      <c r="G355" s="74">
        <v>10033.84</v>
      </c>
      <c r="H355" s="74"/>
      <c r="I355" s="74"/>
    </row>
    <row r="356" spans="1:9" x14ac:dyDescent="0.25">
      <c r="A356" s="219">
        <v>3</v>
      </c>
      <c r="B356" s="220"/>
      <c r="C356" s="221"/>
      <c r="D356" s="49" t="s">
        <v>26</v>
      </c>
      <c r="E356" s="64"/>
      <c r="F356" s="64">
        <f t="shared" ref="F356" si="122">F357+F358</f>
        <v>4360.3424248457095</v>
      </c>
      <c r="G356" s="64">
        <f t="shared" ref="G356" si="123">G357+G358</f>
        <v>10033.84</v>
      </c>
      <c r="H356" s="64">
        <f t="shared" ref="H356" si="124">H357+H358</f>
        <v>0</v>
      </c>
      <c r="I356" s="64">
        <f t="shared" ref="I356" si="125">I357+I358</f>
        <v>0</v>
      </c>
    </row>
    <row r="357" spans="1:9" x14ac:dyDescent="0.25">
      <c r="A357" s="216">
        <v>31</v>
      </c>
      <c r="B357" s="217"/>
      <c r="C357" s="218"/>
      <c r="D357" s="49" t="s">
        <v>29</v>
      </c>
      <c r="E357" s="64"/>
      <c r="F357" s="64">
        <f>32853/7.5345</f>
        <v>4360.3424248457095</v>
      </c>
      <c r="G357" s="64">
        <v>9901.1200000000008</v>
      </c>
      <c r="H357" s="64"/>
      <c r="I357" s="64"/>
    </row>
    <row r="358" spans="1:9" x14ac:dyDescent="0.25">
      <c r="A358" s="216">
        <v>32</v>
      </c>
      <c r="B358" s="217"/>
      <c r="C358" s="218"/>
      <c r="D358" s="49" t="s">
        <v>43</v>
      </c>
      <c r="E358" s="64"/>
      <c r="F358" s="64"/>
      <c r="G358" s="64">
        <v>132.72</v>
      </c>
      <c r="H358" s="64"/>
      <c r="I358" s="64"/>
    </row>
    <row r="359" spans="1:9" x14ac:dyDescent="0.25">
      <c r="A359" s="256" t="s">
        <v>197</v>
      </c>
      <c r="B359" s="257"/>
      <c r="C359" s="257"/>
      <c r="D359" s="258"/>
      <c r="E359" s="80"/>
      <c r="F359" s="85">
        <f>F361</f>
        <v>10900.856062114273</v>
      </c>
      <c r="G359" s="85">
        <f t="shared" ref="G359:I359" si="126">G361</f>
        <v>19934.960000000003</v>
      </c>
      <c r="H359" s="85">
        <f t="shared" si="126"/>
        <v>0</v>
      </c>
      <c r="I359" s="85">
        <f t="shared" si="126"/>
        <v>0</v>
      </c>
    </row>
    <row r="360" spans="1:9" x14ac:dyDescent="0.25">
      <c r="A360" s="273" t="s">
        <v>86</v>
      </c>
      <c r="B360" s="274"/>
      <c r="C360" s="274"/>
      <c r="D360" s="274"/>
      <c r="E360" s="74"/>
      <c r="F360" s="74">
        <f>82132.5/7.5345</f>
        <v>10900.856062114273</v>
      </c>
      <c r="G360" s="74">
        <v>19934.96</v>
      </c>
      <c r="H360" s="74"/>
      <c r="I360" s="74"/>
    </row>
    <row r="361" spans="1:9" x14ac:dyDescent="0.25">
      <c r="A361" s="219">
        <v>3</v>
      </c>
      <c r="B361" s="220"/>
      <c r="C361" s="221"/>
      <c r="D361" s="49" t="s">
        <v>26</v>
      </c>
      <c r="E361" s="64"/>
      <c r="F361" s="64">
        <f>F362</f>
        <v>10900.856062114273</v>
      </c>
      <c r="G361" s="64">
        <f>G362+G363</f>
        <v>19934.960000000003</v>
      </c>
      <c r="H361" s="64">
        <f t="shared" ref="H361:I361" si="127">H362</f>
        <v>0</v>
      </c>
      <c r="I361" s="64">
        <f t="shared" si="127"/>
        <v>0</v>
      </c>
    </row>
    <row r="362" spans="1:9" x14ac:dyDescent="0.25">
      <c r="A362" s="216">
        <v>31</v>
      </c>
      <c r="B362" s="217"/>
      <c r="C362" s="218"/>
      <c r="D362" s="49" t="s">
        <v>29</v>
      </c>
      <c r="E362" s="64"/>
      <c r="F362" s="64">
        <f>82132.5/7.5345</f>
        <v>10900.856062114273</v>
      </c>
      <c r="G362" s="64">
        <v>19802.240000000002</v>
      </c>
      <c r="H362" s="64"/>
      <c r="I362" s="64"/>
    </row>
    <row r="363" spans="1:9" x14ac:dyDescent="0.25">
      <c r="A363" s="216">
        <v>32</v>
      </c>
      <c r="B363" s="217"/>
      <c r="C363" s="218"/>
      <c r="D363" s="49" t="s">
        <v>43</v>
      </c>
      <c r="E363" s="64"/>
      <c r="F363" s="64"/>
      <c r="G363" s="64">
        <v>132.72</v>
      </c>
      <c r="H363" s="64"/>
      <c r="I363" s="64"/>
    </row>
    <row r="364" spans="1:9" x14ac:dyDescent="0.25">
      <c r="A364" s="240" t="s">
        <v>148</v>
      </c>
      <c r="B364" s="241"/>
      <c r="C364" s="241"/>
      <c r="D364" s="242"/>
      <c r="E364" s="104">
        <f>E365+E369</f>
        <v>4374.2265578339639</v>
      </c>
      <c r="F364" s="104">
        <f t="shared" ref="F364:I364" si="128">F365+F369</f>
        <v>14334.063308779612</v>
      </c>
      <c r="G364" s="104">
        <f>G365+G369</f>
        <v>27208.17</v>
      </c>
      <c r="H364" s="104">
        <f t="shared" si="128"/>
        <v>15000</v>
      </c>
      <c r="I364" s="104">
        <f t="shared" si="128"/>
        <v>15000</v>
      </c>
    </row>
    <row r="365" spans="1:9" x14ac:dyDescent="0.25">
      <c r="A365" s="248" t="s">
        <v>185</v>
      </c>
      <c r="B365" s="249"/>
      <c r="C365" s="249"/>
      <c r="D365" s="250"/>
      <c r="E365" s="81">
        <f>E367</f>
        <v>1876.833233791227</v>
      </c>
      <c r="F365" s="81">
        <f t="shared" ref="F365:I365" si="129">F367</f>
        <v>4379.8526776826593</v>
      </c>
      <c r="G365" s="81">
        <f t="shared" si="129"/>
        <v>5308.91</v>
      </c>
      <c r="H365" s="81">
        <f t="shared" si="129"/>
        <v>5000</v>
      </c>
      <c r="I365" s="81">
        <f t="shared" si="129"/>
        <v>5000</v>
      </c>
    </row>
    <row r="366" spans="1:9" x14ac:dyDescent="0.25">
      <c r="A366" s="55" t="s">
        <v>84</v>
      </c>
      <c r="B366" s="55"/>
      <c r="C366" s="55"/>
      <c r="D366" s="55"/>
      <c r="E366" s="69">
        <f>E367</f>
        <v>1876.833233791227</v>
      </c>
      <c r="F366" s="74">
        <f>33000/7.5345</f>
        <v>4379.8526776826593</v>
      </c>
      <c r="G366" s="74">
        <v>5308.91</v>
      </c>
      <c r="H366" s="74">
        <v>5000</v>
      </c>
      <c r="I366" s="74">
        <v>5000</v>
      </c>
    </row>
    <row r="367" spans="1:9" x14ac:dyDescent="0.25">
      <c r="A367" s="219">
        <v>3</v>
      </c>
      <c r="B367" s="220"/>
      <c r="C367" s="221"/>
      <c r="D367" s="49" t="s">
        <v>26</v>
      </c>
      <c r="E367" s="64">
        <f>E368</f>
        <v>1876.833233791227</v>
      </c>
      <c r="F367" s="64">
        <f t="shared" ref="F367:I367" si="130">F368</f>
        <v>4379.8526776826593</v>
      </c>
      <c r="G367" s="64">
        <f t="shared" si="130"/>
        <v>5308.91</v>
      </c>
      <c r="H367" s="64">
        <f t="shared" si="130"/>
        <v>5000</v>
      </c>
      <c r="I367" s="64">
        <f t="shared" si="130"/>
        <v>5000</v>
      </c>
    </row>
    <row r="368" spans="1:9" x14ac:dyDescent="0.25">
      <c r="A368" s="216">
        <v>38</v>
      </c>
      <c r="B368" s="217"/>
      <c r="C368" s="218"/>
      <c r="D368" s="49" t="s">
        <v>64</v>
      </c>
      <c r="E368" s="64">
        <f>14141/7.5345</f>
        <v>1876.833233791227</v>
      </c>
      <c r="F368" s="64">
        <f>33000/7.5345</f>
        <v>4379.8526776826593</v>
      </c>
      <c r="G368" s="64">
        <f>4379.85+929.06</f>
        <v>5308.91</v>
      </c>
      <c r="H368" s="64">
        <v>5000</v>
      </c>
      <c r="I368" s="64">
        <v>5000</v>
      </c>
    </row>
    <row r="369" spans="1:9" ht="30" customHeight="1" x14ac:dyDescent="0.25">
      <c r="A369" s="256" t="s">
        <v>149</v>
      </c>
      <c r="B369" s="257"/>
      <c r="C369" s="257"/>
      <c r="D369" s="258"/>
      <c r="E369" s="78">
        <f>E371</f>
        <v>2497.3933240427368</v>
      </c>
      <c r="F369" s="78">
        <f t="shared" ref="F369:I369" si="131">F371</f>
        <v>9954.2106310969539</v>
      </c>
      <c r="G369" s="78">
        <f t="shared" si="131"/>
        <v>21899.26</v>
      </c>
      <c r="H369" s="78">
        <f t="shared" si="131"/>
        <v>10000</v>
      </c>
      <c r="I369" s="78">
        <f t="shared" si="131"/>
        <v>10000</v>
      </c>
    </row>
    <row r="370" spans="1:9" x14ac:dyDescent="0.25">
      <c r="A370" s="55" t="s">
        <v>84</v>
      </c>
      <c r="B370" s="55"/>
      <c r="C370" s="55"/>
      <c r="D370" s="55"/>
      <c r="E370" s="56">
        <f>E371</f>
        <v>2497.3933240427368</v>
      </c>
      <c r="F370" s="65">
        <f>75000/7.5345</f>
        <v>9954.2106310969539</v>
      </c>
      <c r="G370" s="74">
        <v>21899.26</v>
      </c>
      <c r="H370" s="74">
        <v>10000</v>
      </c>
      <c r="I370" s="74">
        <v>10000</v>
      </c>
    </row>
    <row r="371" spans="1:9" x14ac:dyDescent="0.25">
      <c r="A371" s="219">
        <v>3</v>
      </c>
      <c r="B371" s="220"/>
      <c r="C371" s="221"/>
      <c r="D371" s="49" t="s">
        <v>26</v>
      </c>
      <c r="E371" s="51">
        <f>E372</f>
        <v>2497.3933240427368</v>
      </c>
      <c r="F371" s="51">
        <f t="shared" ref="F371:I371" si="132">F372</f>
        <v>9954.2106310969539</v>
      </c>
      <c r="G371" s="51">
        <f t="shared" si="132"/>
        <v>21899.26</v>
      </c>
      <c r="H371" s="51">
        <f t="shared" si="132"/>
        <v>10000</v>
      </c>
      <c r="I371" s="51">
        <f t="shared" si="132"/>
        <v>10000</v>
      </c>
    </row>
    <row r="372" spans="1:9" x14ac:dyDescent="0.25">
      <c r="A372" s="216">
        <v>38</v>
      </c>
      <c r="B372" s="217"/>
      <c r="C372" s="218"/>
      <c r="D372" s="49" t="s">
        <v>64</v>
      </c>
      <c r="E372" s="51">
        <f>18816.61/7.5345</f>
        <v>2497.3933240427368</v>
      </c>
      <c r="F372" s="64">
        <f>75000/7.5345</f>
        <v>9954.2106310969539</v>
      </c>
      <c r="G372" s="64">
        <v>21899.26</v>
      </c>
      <c r="H372" s="64">
        <v>10000</v>
      </c>
      <c r="I372" s="64">
        <v>10000</v>
      </c>
    </row>
    <row r="373" spans="1:9" x14ac:dyDescent="0.25">
      <c r="A373" s="325" t="s">
        <v>150</v>
      </c>
      <c r="B373" s="326"/>
      <c r="C373" s="326"/>
      <c r="D373" s="327"/>
      <c r="E373" s="121">
        <f>E374</f>
        <v>1327.2280841462605</v>
      </c>
      <c r="F373" s="121">
        <f t="shared" ref="F373:I374" si="133">F374</f>
        <v>1327.2280841462605</v>
      </c>
      <c r="G373" s="121">
        <f t="shared" si="133"/>
        <v>1327.23</v>
      </c>
      <c r="H373" s="121">
        <f t="shared" si="133"/>
        <v>1400</v>
      </c>
      <c r="I373" s="121">
        <f t="shared" si="133"/>
        <v>1400</v>
      </c>
    </row>
    <row r="374" spans="1:9" x14ac:dyDescent="0.25">
      <c r="A374" s="101" t="s">
        <v>151</v>
      </c>
      <c r="B374" s="101"/>
      <c r="C374" s="101"/>
      <c r="D374" s="101"/>
      <c r="E374" s="104">
        <f>E375</f>
        <v>1327.2280841462605</v>
      </c>
      <c r="F374" s="104">
        <f t="shared" si="133"/>
        <v>1327.2280841462605</v>
      </c>
      <c r="G374" s="104">
        <f t="shared" si="133"/>
        <v>1327.23</v>
      </c>
      <c r="H374" s="104">
        <f t="shared" si="133"/>
        <v>1400</v>
      </c>
      <c r="I374" s="104">
        <f t="shared" si="133"/>
        <v>1400</v>
      </c>
    </row>
    <row r="375" spans="1:9" x14ac:dyDescent="0.25">
      <c r="A375" s="76" t="s">
        <v>152</v>
      </c>
      <c r="B375" s="77"/>
      <c r="C375" s="77"/>
      <c r="D375" s="77"/>
      <c r="E375" s="78">
        <f>E377</f>
        <v>1327.2280841462605</v>
      </c>
      <c r="F375" s="78">
        <f t="shared" ref="F375:I375" si="134">F377</f>
        <v>1327.2280841462605</v>
      </c>
      <c r="G375" s="78">
        <f t="shared" si="134"/>
        <v>1327.23</v>
      </c>
      <c r="H375" s="78">
        <f t="shared" si="134"/>
        <v>1400</v>
      </c>
      <c r="I375" s="78">
        <f t="shared" si="134"/>
        <v>1400</v>
      </c>
    </row>
    <row r="376" spans="1:9" x14ac:dyDescent="0.25">
      <c r="A376" s="55" t="s">
        <v>84</v>
      </c>
      <c r="B376" s="55"/>
      <c r="C376" s="55"/>
      <c r="D376" s="55"/>
      <c r="E376" s="69">
        <f>E377</f>
        <v>1327.2280841462605</v>
      </c>
      <c r="F376" s="74">
        <f>10000/7.5345</f>
        <v>1327.2280841462605</v>
      </c>
      <c r="G376" s="74">
        <v>1327.23</v>
      </c>
      <c r="H376" s="74">
        <v>1400</v>
      </c>
      <c r="I376" s="74">
        <v>1400</v>
      </c>
    </row>
    <row r="377" spans="1:9" x14ac:dyDescent="0.25">
      <c r="A377" s="219">
        <v>3</v>
      </c>
      <c r="B377" s="220"/>
      <c r="C377" s="221"/>
      <c r="D377" s="49" t="s">
        <v>26</v>
      </c>
      <c r="E377" s="51">
        <f>E378</f>
        <v>1327.2280841462605</v>
      </c>
      <c r="F377" s="51">
        <f t="shared" ref="F377:I377" si="135">F378</f>
        <v>1327.2280841462605</v>
      </c>
      <c r="G377" s="51">
        <f t="shared" si="135"/>
        <v>1327.23</v>
      </c>
      <c r="H377" s="51">
        <f t="shared" si="135"/>
        <v>1400</v>
      </c>
      <c r="I377" s="51">
        <f t="shared" si="135"/>
        <v>1400</v>
      </c>
    </row>
    <row r="378" spans="1:9" x14ac:dyDescent="0.25">
      <c r="A378" s="216">
        <v>38</v>
      </c>
      <c r="B378" s="217"/>
      <c r="C378" s="218"/>
      <c r="D378" s="49" t="s">
        <v>64</v>
      </c>
      <c r="E378" s="51">
        <f>10000/7.5345</f>
        <v>1327.2280841462605</v>
      </c>
      <c r="F378" s="64">
        <f>10000/7.5345</f>
        <v>1327.2280841462605</v>
      </c>
      <c r="G378" s="64">
        <v>1327.23</v>
      </c>
      <c r="H378" s="64">
        <v>1400</v>
      </c>
      <c r="I378" s="64">
        <v>1400</v>
      </c>
    </row>
    <row r="379" spans="1:9" x14ac:dyDescent="0.25">
      <c r="E379" s="39"/>
      <c r="F379" s="39"/>
      <c r="G379" s="39"/>
      <c r="H379" s="39"/>
      <c r="I379" s="39"/>
    </row>
    <row r="380" spans="1:9" x14ac:dyDescent="0.25">
      <c r="E380" s="39"/>
      <c r="F380" s="39"/>
      <c r="G380" s="39"/>
      <c r="H380" s="39"/>
      <c r="I380" s="39"/>
    </row>
    <row r="381" spans="1:9" x14ac:dyDescent="0.25">
      <c r="A381" s="223" t="s">
        <v>224</v>
      </c>
      <c r="B381" s="223"/>
      <c r="C381" s="223"/>
      <c r="D381" s="223"/>
      <c r="E381" s="223"/>
      <c r="F381" s="223"/>
      <c r="G381" s="223"/>
      <c r="H381" s="223"/>
      <c r="I381" s="223"/>
    </row>
    <row r="382" spans="1:9" x14ac:dyDescent="0.25">
      <c r="E382" s="39"/>
      <c r="F382" s="39"/>
      <c r="G382" s="39"/>
      <c r="H382" s="39"/>
      <c r="I382" s="39"/>
    </row>
    <row r="383" spans="1:9" x14ac:dyDescent="0.25">
      <c r="A383" s="191" t="s">
        <v>231</v>
      </c>
      <c r="B383" s="191"/>
      <c r="C383" s="191"/>
      <c r="D383" s="191"/>
      <c r="E383" s="191"/>
      <c r="F383" s="191"/>
      <c r="G383" s="191"/>
      <c r="H383" s="191"/>
      <c r="I383" s="191"/>
    </row>
    <row r="384" spans="1:9" x14ac:dyDescent="0.25">
      <c r="A384" s="181"/>
      <c r="B384" s="181"/>
      <c r="C384" s="181"/>
      <c r="D384" s="181"/>
      <c r="E384" s="181"/>
      <c r="F384" s="181"/>
      <c r="G384" s="181"/>
      <c r="H384" s="181"/>
      <c r="I384" s="181"/>
    </row>
    <row r="385" spans="1:9" x14ac:dyDescent="0.25">
      <c r="A385" s="181"/>
      <c r="B385" s="181"/>
      <c r="C385" s="181"/>
      <c r="D385" s="181"/>
      <c r="E385" s="181"/>
      <c r="F385" s="181"/>
      <c r="G385" s="181"/>
      <c r="H385" s="181"/>
      <c r="I385" s="181"/>
    </row>
    <row r="386" spans="1:9" x14ac:dyDescent="0.25">
      <c r="E386" s="39"/>
      <c r="F386" s="39"/>
      <c r="G386" s="39"/>
      <c r="H386" s="39"/>
      <c r="I386" s="39"/>
    </row>
    <row r="387" spans="1:9" s="185" customFormat="1" ht="15.75" x14ac:dyDescent="0.25">
      <c r="A387" s="184" t="s">
        <v>225</v>
      </c>
      <c r="B387" s="184"/>
      <c r="C387" s="184"/>
      <c r="E387" s="186"/>
      <c r="F387" s="186"/>
      <c r="G387" s="186"/>
      <c r="H387" s="186"/>
      <c r="I387" s="186"/>
    </row>
    <row r="388" spans="1:9" x14ac:dyDescent="0.25">
      <c r="E388" s="39"/>
      <c r="F388" s="39"/>
      <c r="G388" s="39"/>
      <c r="H388" s="39"/>
      <c r="I388" s="39"/>
    </row>
    <row r="389" spans="1:9" x14ac:dyDescent="0.25">
      <c r="A389" s="223" t="s">
        <v>226</v>
      </c>
      <c r="B389" s="223"/>
      <c r="C389" s="223"/>
      <c r="D389" s="223"/>
      <c r="E389" s="223"/>
      <c r="F389" s="223"/>
      <c r="G389" s="223"/>
      <c r="H389" s="223"/>
      <c r="I389" s="223"/>
    </row>
    <row r="390" spans="1:9" x14ac:dyDescent="0.25">
      <c r="A390" s="182"/>
      <c r="B390" s="182"/>
      <c r="C390" s="182"/>
      <c r="D390" s="182"/>
      <c r="E390" s="182"/>
      <c r="F390" s="182"/>
      <c r="G390" s="182"/>
      <c r="H390" s="182"/>
      <c r="I390" s="182"/>
    </row>
    <row r="391" spans="1:9" x14ac:dyDescent="0.25">
      <c r="A391" s="191" t="s">
        <v>232</v>
      </c>
      <c r="B391" s="191"/>
      <c r="C391" s="191"/>
      <c r="D391" s="191"/>
      <c r="E391" s="191"/>
      <c r="F391" s="191"/>
      <c r="G391" s="191"/>
      <c r="H391" s="191"/>
      <c r="I391" s="191"/>
    </row>
    <row r="392" spans="1:9" x14ac:dyDescent="0.25">
      <c r="A392" s="181"/>
      <c r="B392" s="181"/>
      <c r="C392" s="181"/>
      <c r="D392" s="181"/>
      <c r="E392" s="181"/>
      <c r="F392" s="181"/>
      <c r="G392" s="181"/>
      <c r="H392" s="181"/>
      <c r="I392" s="181"/>
    </row>
    <row r="393" spans="1:9" x14ac:dyDescent="0.25">
      <c r="A393" s="181"/>
      <c r="B393" s="181"/>
      <c r="C393" s="181"/>
      <c r="D393" s="181"/>
      <c r="E393" s="181"/>
      <c r="F393" s="181"/>
      <c r="G393" s="181"/>
      <c r="H393" s="181"/>
      <c r="I393" s="181"/>
    </row>
    <row r="394" spans="1:9" x14ac:dyDescent="0.25">
      <c r="A394" s="222" t="s">
        <v>227</v>
      </c>
      <c r="B394" s="222"/>
      <c r="C394" s="222"/>
      <c r="D394" s="222"/>
      <c r="E394" s="222"/>
      <c r="F394" s="222"/>
      <c r="G394" s="222"/>
      <c r="H394" s="222"/>
      <c r="I394" s="222"/>
    </row>
    <row r="395" spans="1:9" x14ac:dyDescent="0.25">
      <c r="A395" s="222" t="s">
        <v>228</v>
      </c>
      <c r="B395" s="222"/>
      <c r="C395" s="222"/>
      <c r="D395" s="222"/>
      <c r="E395" s="222"/>
      <c r="F395" s="222"/>
      <c r="G395" s="222"/>
      <c r="H395" s="222"/>
      <c r="I395" s="222"/>
    </row>
    <row r="396" spans="1:9" x14ac:dyDescent="0.25">
      <c r="A396" s="181"/>
      <c r="B396" s="181"/>
      <c r="C396" s="181"/>
      <c r="D396" s="181"/>
      <c r="E396" s="181"/>
      <c r="F396" s="181"/>
      <c r="G396" s="181"/>
      <c r="H396" s="181"/>
      <c r="I396" s="181"/>
    </row>
    <row r="397" spans="1:9" x14ac:dyDescent="0.25">
      <c r="A397" s="181"/>
      <c r="B397" s="181"/>
      <c r="C397" s="181"/>
      <c r="D397" s="181"/>
      <c r="E397" s="181"/>
      <c r="F397" s="181"/>
      <c r="G397" s="181"/>
      <c r="H397" s="181"/>
      <c r="I397" s="181"/>
    </row>
    <row r="398" spans="1:9" x14ac:dyDescent="0.25">
      <c r="A398" t="s">
        <v>213</v>
      </c>
      <c r="E398" s="39"/>
      <c r="F398" s="39"/>
      <c r="G398" s="39"/>
      <c r="H398" s="39"/>
      <c r="I398" s="39"/>
    </row>
    <row r="399" spans="1:9" x14ac:dyDescent="0.25">
      <c r="A399" t="s">
        <v>237</v>
      </c>
      <c r="E399" s="39"/>
      <c r="F399" s="39"/>
      <c r="G399" s="39"/>
      <c r="H399" s="39"/>
      <c r="I399" s="39"/>
    </row>
    <row r="400" spans="1:9" x14ac:dyDescent="0.25">
      <c r="A400" t="s">
        <v>236</v>
      </c>
      <c r="E400" s="39"/>
      <c r="F400" s="39"/>
      <c r="G400" s="39"/>
      <c r="H400" s="39"/>
      <c r="I400" s="39"/>
    </row>
    <row r="401" spans="5:9" x14ac:dyDescent="0.25">
      <c r="E401" s="39"/>
      <c r="F401" s="39"/>
      <c r="G401" s="171" t="s">
        <v>230</v>
      </c>
      <c r="H401" s="39"/>
      <c r="I401" s="39"/>
    </row>
    <row r="402" spans="5:9" x14ac:dyDescent="0.25">
      <c r="G402" s="145" t="s">
        <v>229</v>
      </c>
    </row>
    <row r="403" spans="5:9" x14ac:dyDescent="0.25">
      <c r="G403" s="145"/>
    </row>
  </sheetData>
  <mergeCells count="352">
    <mergeCell ref="A355:D355"/>
    <mergeCell ref="A356:C356"/>
    <mergeCell ref="A357:C357"/>
    <mergeCell ref="A358:C358"/>
    <mergeCell ref="A359:D359"/>
    <mergeCell ref="A360:D360"/>
    <mergeCell ref="A361:C361"/>
    <mergeCell ref="A362:C362"/>
    <mergeCell ref="A363:C363"/>
    <mergeCell ref="A354:D354"/>
    <mergeCell ref="F309:F310"/>
    <mergeCell ref="G309:G310"/>
    <mergeCell ref="H309:H310"/>
    <mergeCell ref="I309:I310"/>
    <mergeCell ref="F315:F316"/>
    <mergeCell ref="G315:G316"/>
    <mergeCell ref="H315:H316"/>
    <mergeCell ref="I315:I316"/>
    <mergeCell ref="A325:C325"/>
    <mergeCell ref="A343:D343"/>
    <mergeCell ref="A327:D327"/>
    <mergeCell ref="A329:C329"/>
    <mergeCell ref="A330:C330"/>
    <mergeCell ref="A318:C318"/>
    <mergeCell ref="A319:C319"/>
    <mergeCell ref="A321:D321"/>
    <mergeCell ref="A320:D320"/>
    <mergeCell ref="A323:C323"/>
    <mergeCell ref="A324:C324"/>
    <mergeCell ref="A326:C326"/>
    <mergeCell ref="A337:C337"/>
    <mergeCell ref="F277:F278"/>
    <mergeCell ref="G277:G278"/>
    <mergeCell ref="H277:H278"/>
    <mergeCell ref="I277:I278"/>
    <mergeCell ref="F283:F284"/>
    <mergeCell ref="G283:G284"/>
    <mergeCell ref="H283:H284"/>
    <mergeCell ref="I283:I284"/>
    <mergeCell ref="F293:F294"/>
    <mergeCell ref="G293:G294"/>
    <mergeCell ref="H293:H294"/>
    <mergeCell ref="I293:I294"/>
    <mergeCell ref="A378:C378"/>
    <mergeCell ref="E102:E103"/>
    <mergeCell ref="A9:D9"/>
    <mergeCell ref="A45:C45"/>
    <mergeCell ref="A367:C367"/>
    <mergeCell ref="A368:C368"/>
    <mergeCell ref="A369:D369"/>
    <mergeCell ref="A371:C371"/>
    <mergeCell ref="A372:C372"/>
    <mergeCell ref="A373:D373"/>
    <mergeCell ref="A377:C377"/>
    <mergeCell ref="A346:C346"/>
    <mergeCell ref="A347:C347"/>
    <mergeCell ref="A348:C348"/>
    <mergeCell ref="A351:C351"/>
    <mergeCell ref="A352:C352"/>
    <mergeCell ref="A353:C353"/>
    <mergeCell ref="A364:D364"/>
    <mergeCell ref="A365:D365"/>
    <mergeCell ref="A336:C336"/>
    <mergeCell ref="A338:C338"/>
    <mergeCell ref="A341:C341"/>
    <mergeCell ref="A342:C342"/>
    <mergeCell ref="A344:D344"/>
    <mergeCell ref="A306:C306"/>
    <mergeCell ref="E309:E310"/>
    <mergeCell ref="A309:D309"/>
    <mergeCell ref="A312:C312"/>
    <mergeCell ref="A313:C313"/>
    <mergeCell ref="A316:D316"/>
    <mergeCell ref="E315:E316"/>
    <mergeCell ref="A315:D315"/>
    <mergeCell ref="A299:C299"/>
    <mergeCell ref="A300:C300"/>
    <mergeCell ref="A301:C301"/>
    <mergeCell ref="A302:D302"/>
    <mergeCell ref="A303:D303"/>
    <mergeCell ref="A305:C305"/>
    <mergeCell ref="A291:C291"/>
    <mergeCell ref="A292:C292"/>
    <mergeCell ref="A294:D294"/>
    <mergeCell ref="E293:E294"/>
    <mergeCell ref="A296:D296"/>
    <mergeCell ref="A280:C280"/>
    <mergeCell ref="A281:C281"/>
    <mergeCell ref="A282:D282"/>
    <mergeCell ref="A283:D283"/>
    <mergeCell ref="A284:D284"/>
    <mergeCell ref="E283:E284"/>
    <mergeCell ref="A286:C286"/>
    <mergeCell ref="A245:C245"/>
    <mergeCell ref="A246:C246"/>
    <mergeCell ref="A248:D248"/>
    <mergeCell ref="A237:C237"/>
    <mergeCell ref="A238:C238"/>
    <mergeCell ref="A242:C242"/>
    <mergeCell ref="A253:C253"/>
    <mergeCell ref="A254:C254"/>
    <mergeCell ref="A259:C259"/>
    <mergeCell ref="A255:D255"/>
    <mergeCell ref="A210:C210"/>
    <mergeCell ref="A211:C211"/>
    <mergeCell ref="A212:C212"/>
    <mergeCell ref="A213:C213"/>
    <mergeCell ref="A221:D221"/>
    <mergeCell ref="A223:C223"/>
    <mergeCell ref="A224:C224"/>
    <mergeCell ref="A206:C206"/>
    <mergeCell ref="A217:C217"/>
    <mergeCell ref="A218:C218"/>
    <mergeCell ref="A2:I2"/>
    <mergeCell ref="A8:C8"/>
    <mergeCell ref="A15:C15"/>
    <mergeCell ref="A48:D48"/>
    <mergeCell ref="A49:C49"/>
    <mergeCell ref="A50:C50"/>
    <mergeCell ref="A51:C51"/>
    <mergeCell ref="A52:D52"/>
    <mergeCell ref="A54:C54"/>
    <mergeCell ref="A26:D26"/>
    <mergeCell ref="A10:D10"/>
    <mergeCell ref="A11:D11"/>
    <mergeCell ref="A13:D13"/>
    <mergeCell ref="A14:D14"/>
    <mergeCell ref="A19:D19"/>
    <mergeCell ref="A4:I4"/>
    <mergeCell ref="A6:I6"/>
    <mergeCell ref="A16:C16"/>
    <mergeCell ref="A22:C22"/>
    <mergeCell ref="A18:C18"/>
    <mergeCell ref="A17:C17"/>
    <mergeCell ref="A21:C21"/>
    <mergeCell ref="A128:C128"/>
    <mergeCell ref="A28:C28"/>
    <mergeCell ref="A31:D31"/>
    <mergeCell ref="A32:C32"/>
    <mergeCell ref="A33:C33"/>
    <mergeCell ref="A27:C27"/>
    <mergeCell ref="A34:D34"/>
    <mergeCell ref="A36:D36"/>
    <mergeCell ref="A37:D37"/>
    <mergeCell ref="A30:D30"/>
    <mergeCell ref="A41:C41"/>
    <mergeCell ref="A42:C42"/>
    <mergeCell ref="A43:C43"/>
    <mergeCell ref="A44:C44"/>
    <mergeCell ref="A46:C46"/>
    <mergeCell ref="A47:D47"/>
    <mergeCell ref="A108:D108"/>
    <mergeCell ref="A86:D86"/>
    <mergeCell ref="A87:C87"/>
    <mergeCell ref="A88:C88"/>
    <mergeCell ref="A60:D60"/>
    <mergeCell ref="A61:D61"/>
    <mergeCell ref="A62:C62"/>
    <mergeCell ref="A63:C63"/>
    <mergeCell ref="A64:D64"/>
    <mergeCell ref="A65:D65"/>
    <mergeCell ref="A66:D66"/>
    <mergeCell ref="A67:C67"/>
    <mergeCell ref="A68:C68"/>
    <mergeCell ref="A70:D70"/>
    <mergeCell ref="A71:D71"/>
    <mergeCell ref="A72:C72"/>
    <mergeCell ref="A73:C73"/>
    <mergeCell ref="A74:D74"/>
    <mergeCell ref="A75:D75"/>
    <mergeCell ref="A76:C76"/>
    <mergeCell ref="A78:D78"/>
    <mergeCell ref="A81:C81"/>
    <mergeCell ref="A82:C82"/>
    <mergeCell ref="A79:D79"/>
    <mergeCell ref="A80:D80"/>
    <mergeCell ref="A91:D91"/>
    <mergeCell ref="E91:E92"/>
    <mergeCell ref="A93:D93"/>
    <mergeCell ref="A94:C94"/>
    <mergeCell ref="A95:C95"/>
    <mergeCell ref="A96:C96"/>
    <mergeCell ref="A77:C77"/>
    <mergeCell ref="A83:D83"/>
    <mergeCell ref="A119:D119"/>
    <mergeCell ref="A97:D97"/>
    <mergeCell ref="A98:D98"/>
    <mergeCell ref="A99:D99"/>
    <mergeCell ref="A100:C100"/>
    <mergeCell ref="A101:C101"/>
    <mergeCell ref="A103:D103"/>
    <mergeCell ref="A104:D104"/>
    <mergeCell ref="A111:C111"/>
    <mergeCell ref="A115:C115"/>
    <mergeCell ref="A116:C116"/>
    <mergeCell ref="A105:D105"/>
    <mergeCell ref="A106:D106"/>
    <mergeCell ref="E105:E106"/>
    <mergeCell ref="A84:D84"/>
    <mergeCell ref="A85:D85"/>
    <mergeCell ref="A154:C154"/>
    <mergeCell ref="A155:C155"/>
    <mergeCell ref="A156:D156"/>
    <mergeCell ref="A159:C159"/>
    <mergeCell ref="A160:C160"/>
    <mergeCell ref="E131:E132"/>
    <mergeCell ref="A130:D130"/>
    <mergeCell ref="A131:D131"/>
    <mergeCell ref="A109:D109"/>
    <mergeCell ref="A114:D114"/>
    <mergeCell ref="A125:D125"/>
    <mergeCell ref="A120:D120"/>
    <mergeCell ref="A121:D121"/>
    <mergeCell ref="A122:C122"/>
    <mergeCell ref="A123:C123"/>
    <mergeCell ref="A126:D126"/>
    <mergeCell ref="A138:D138"/>
    <mergeCell ref="A142:C142"/>
    <mergeCell ref="A143:C143"/>
    <mergeCell ref="A110:C110"/>
    <mergeCell ref="A132:D132"/>
    <mergeCell ref="A136:C136"/>
    <mergeCell ref="A129:C129"/>
    <mergeCell ref="A124:D124"/>
    <mergeCell ref="A56:D56"/>
    <mergeCell ref="A58:C58"/>
    <mergeCell ref="A59:C59"/>
    <mergeCell ref="A57:D57"/>
    <mergeCell ref="A53:D53"/>
    <mergeCell ref="A38:D38"/>
    <mergeCell ref="A39:D39"/>
    <mergeCell ref="A40:D40"/>
    <mergeCell ref="A20:D20"/>
    <mergeCell ref="A23:C23"/>
    <mergeCell ref="A55:C55"/>
    <mergeCell ref="F131:F132"/>
    <mergeCell ref="G131:G132"/>
    <mergeCell ref="H131:H132"/>
    <mergeCell ref="I131:I132"/>
    <mergeCell ref="A144:D144"/>
    <mergeCell ref="A148:C148"/>
    <mergeCell ref="A149:C149"/>
    <mergeCell ref="A151:D151"/>
    <mergeCell ref="F91:F92"/>
    <mergeCell ref="G91:G92"/>
    <mergeCell ref="H91:H92"/>
    <mergeCell ref="I91:I92"/>
    <mergeCell ref="F102:F103"/>
    <mergeCell ref="G102:G103"/>
    <mergeCell ref="H102:H103"/>
    <mergeCell ref="I102:I103"/>
    <mergeCell ref="F105:F106"/>
    <mergeCell ref="G105:G106"/>
    <mergeCell ref="H105:H106"/>
    <mergeCell ref="I105:I106"/>
    <mergeCell ref="A137:C137"/>
    <mergeCell ref="A117:C117"/>
    <mergeCell ref="A118:C118"/>
    <mergeCell ref="A107:D107"/>
    <mergeCell ref="A161:D161"/>
    <mergeCell ref="A164:C164"/>
    <mergeCell ref="A165:C165"/>
    <mergeCell ref="A172:D172"/>
    <mergeCell ref="A174:C174"/>
    <mergeCell ref="A175:C175"/>
    <mergeCell ref="A166:D166"/>
    <mergeCell ref="A167:D167"/>
    <mergeCell ref="E166:E167"/>
    <mergeCell ref="A170:C170"/>
    <mergeCell ref="A171:C171"/>
    <mergeCell ref="F166:F167"/>
    <mergeCell ref="G166:G167"/>
    <mergeCell ref="H166:H167"/>
    <mergeCell ref="I166:I167"/>
    <mergeCell ref="F182:F183"/>
    <mergeCell ref="G182:G183"/>
    <mergeCell ref="H182:H183"/>
    <mergeCell ref="I182:I183"/>
    <mergeCell ref="A183:D183"/>
    <mergeCell ref="E182:E183"/>
    <mergeCell ref="A186:C186"/>
    <mergeCell ref="A187:C187"/>
    <mergeCell ref="A188:D188"/>
    <mergeCell ref="A182:D182"/>
    <mergeCell ref="A176:D176"/>
    <mergeCell ref="A180:C180"/>
    <mergeCell ref="A181:C181"/>
    <mergeCell ref="A251:C251"/>
    <mergeCell ref="A252:C252"/>
    <mergeCell ref="A219:C219"/>
    <mergeCell ref="A193:C193"/>
    <mergeCell ref="A194:C194"/>
    <mergeCell ref="A191:D191"/>
    <mergeCell ref="A190:D190"/>
    <mergeCell ref="A198:C198"/>
    <mergeCell ref="A199:C199"/>
    <mergeCell ref="A200:C200"/>
    <mergeCell ref="A204:C204"/>
    <mergeCell ref="A205:C205"/>
    <mergeCell ref="A239:D239"/>
    <mergeCell ref="A241:C241"/>
    <mergeCell ref="A231:C231"/>
    <mergeCell ref="A232:C232"/>
    <mergeCell ref="A234:D234"/>
    <mergeCell ref="A277:D277"/>
    <mergeCell ref="A278:D278"/>
    <mergeCell ref="E255:E256"/>
    <mergeCell ref="F188:F189"/>
    <mergeCell ref="G188:G189"/>
    <mergeCell ref="H188:H189"/>
    <mergeCell ref="I188:I189"/>
    <mergeCell ref="F190:F191"/>
    <mergeCell ref="G190:G191"/>
    <mergeCell ref="H190:H191"/>
    <mergeCell ref="I190:I191"/>
    <mergeCell ref="E190:E191"/>
    <mergeCell ref="E188:E189"/>
    <mergeCell ref="F225:F226"/>
    <mergeCell ref="G225:G226"/>
    <mergeCell ref="H225:H226"/>
    <mergeCell ref="I225:I226"/>
    <mergeCell ref="A220:D220"/>
    <mergeCell ref="A225:D225"/>
    <mergeCell ref="A226:D226"/>
    <mergeCell ref="E225:E226"/>
    <mergeCell ref="A207:C207"/>
    <mergeCell ref="A201:D201"/>
    <mergeCell ref="A208:D208"/>
    <mergeCell ref="E277:E278"/>
    <mergeCell ref="A287:C287"/>
    <mergeCell ref="A229:C229"/>
    <mergeCell ref="A230:C230"/>
    <mergeCell ref="A394:I394"/>
    <mergeCell ref="A395:I395"/>
    <mergeCell ref="A381:I381"/>
    <mergeCell ref="A383:I383"/>
    <mergeCell ref="A389:I389"/>
    <mergeCell ref="A391:I391"/>
    <mergeCell ref="F255:F256"/>
    <mergeCell ref="G255:G256"/>
    <mergeCell ref="H255:H256"/>
    <mergeCell ref="I255:I256"/>
    <mergeCell ref="A261:C261"/>
    <mergeCell ref="A262:C262"/>
    <mergeCell ref="A263:C263"/>
    <mergeCell ref="A260:C260"/>
    <mergeCell ref="A270:C270"/>
    <mergeCell ref="A271:C271"/>
    <mergeCell ref="A272:C272"/>
    <mergeCell ref="A273:C273"/>
    <mergeCell ref="A274:C274"/>
    <mergeCell ref="A275:C275"/>
  </mergeCells>
  <pageMargins left="0.31496062992125984" right="0.31496062992125984" top="0.55118110236220474" bottom="0.55118110236220474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Helena</cp:lastModifiedBy>
  <cp:lastPrinted>2022-12-23T07:44:48Z</cp:lastPrinted>
  <dcterms:created xsi:type="dcterms:W3CDTF">2022-08-12T12:51:27Z</dcterms:created>
  <dcterms:modified xsi:type="dcterms:W3CDTF">2022-12-23T07:44:50Z</dcterms:modified>
</cp:coreProperties>
</file>